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ORGANIZACION\ACTUALIZADA\RATIOS\AÑO 2018\ENERO\"/>
    </mc:Choice>
  </mc:AlternateContent>
  <bookViews>
    <workbookView xWindow="8940" yWindow="555" windowWidth="9510" windowHeight="8955" activeTab="1"/>
  </bookViews>
  <sheets>
    <sheet name="MODELO PMP" sheetId="8" r:id="rId1"/>
    <sheet name="WEB" sheetId="9" r:id="rId2"/>
  </sheets>
  <definedNames>
    <definedName name="_xlnm._FilterDatabase" localSheetId="0" hidden="1">'MODELO PMP'!$A$1:$O$6</definedName>
    <definedName name="_xlnm.Print_Titles" localSheetId="0">'MODELO PMP'!$1:$6</definedName>
  </definedNames>
  <calcPr calcId="162913"/>
</workbook>
</file>

<file path=xl/calcChain.xml><?xml version="1.0" encoding="utf-8"?>
<calcChain xmlns="http://schemas.openxmlformats.org/spreadsheetml/2006/main">
  <c r="K147" i="8" l="1"/>
  <c r="E147" i="8"/>
  <c r="O143" i="8"/>
  <c r="N143" i="8"/>
  <c r="L143" i="8"/>
  <c r="E143" i="8"/>
  <c r="I142" i="8"/>
  <c r="K142" i="8" s="1"/>
  <c r="E115" i="8"/>
  <c r="E110" i="8"/>
  <c r="I109" i="8"/>
  <c r="K109" i="8" s="1"/>
  <c r="I108" i="8"/>
  <c r="J108" i="8" s="1"/>
  <c r="I107" i="8"/>
  <c r="K107" i="8" s="1"/>
  <c r="O142" i="8" l="1"/>
  <c r="M142" i="8"/>
  <c r="N142" i="8"/>
  <c r="L142" i="8"/>
  <c r="J142" i="8"/>
  <c r="J107" i="8"/>
  <c r="J109" i="8"/>
  <c r="O107" i="8"/>
  <c r="M107" i="8"/>
  <c r="N107" i="8"/>
  <c r="L107" i="8"/>
  <c r="O109" i="8"/>
  <c r="M109" i="8"/>
  <c r="N109" i="8"/>
  <c r="L109" i="8"/>
  <c r="K108" i="8"/>
  <c r="E151" i="8"/>
  <c r="I141" i="8"/>
  <c r="K141" i="8" s="1"/>
  <c r="N141" i="8" s="1"/>
  <c r="I124" i="8"/>
  <c r="J141" i="8" l="1"/>
  <c r="M112" i="8"/>
  <c r="N118" i="8"/>
  <c r="N108" i="8"/>
  <c r="L108" i="8"/>
  <c r="L110" i="8" s="1"/>
  <c r="L115" i="8" s="1"/>
  <c r="O108" i="8"/>
  <c r="M108" i="8"/>
  <c r="N112" i="8" s="1"/>
  <c r="N110" i="8"/>
  <c r="N115" i="8" s="1"/>
  <c r="K110" i="8"/>
  <c r="O110" i="8"/>
  <c r="O115" i="8" s="1"/>
  <c r="M141" i="8"/>
  <c r="O141" i="8"/>
  <c r="L141" i="8"/>
  <c r="E106" i="8"/>
  <c r="I97" i="8"/>
  <c r="K97" i="8" s="1"/>
  <c r="I102" i="8"/>
  <c r="J102" i="8" s="1"/>
  <c r="I105" i="8"/>
  <c r="J105" i="8" s="1"/>
  <c r="I104" i="8"/>
  <c r="J104" i="8" s="1"/>
  <c r="I103" i="8"/>
  <c r="J103" i="8" s="1"/>
  <c r="I100" i="8"/>
  <c r="K100" i="8" s="1"/>
  <c r="L100" i="8" s="1"/>
  <c r="K105" i="8"/>
  <c r="N105" i="8" s="1"/>
  <c r="K104" i="8"/>
  <c r="O104" i="8" s="1"/>
  <c r="I101" i="8"/>
  <c r="J101" i="8" s="1"/>
  <c r="I99" i="8"/>
  <c r="K99" i="8" s="1"/>
  <c r="L99" i="8" s="1"/>
  <c r="I98" i="8"/>
  <c r="J98" i="8" s="1"/>
  <c r="I96" i="8"/>
  <c r="J96" i="8" s="1"/>
  <c r="O118" i="8" l="1"/>
  <c r="J100" i="8"/>
  <c r="K98" i="8"/>
  <c r="K101" i="8"/>
  <c r="L101" i="8" s="1"/>
  <c r="K103" i="8"/>
  <c r="N103" i="8" s="1"/>
  <c r="L104" i="8"/>
  <c r="K102" i="8"/>
  <c r="N104" i="8"/>
  <c r="M103" i="8"/>
  <c r="M105" i="8"/>
  <c r="O105" i="8"/>
  <c r="M102" i="8"/>
  <c r="M104" i="8"/>
  <c r="L105" i="8"/>
  <c r="N100" i="8"/>
  <c r="O100" i="8"/>
  <c r="M100" i="8"/>
  <c r="J99" i="8"/>
  <c r="J97" i="8"/>
  <c r="O97" i="8"/>
  <c r="M97" i="8"/>
  <c r="N97" i="8"/>
  <c r="L97" i="8"/>
  <c r="O99" i="8"/>
  <c r="M99" i="8"/>
  <c r="N99" i="8"/>
  <c r="K96" i="8"/>
  <c r="K106" i="8" s="1"/>
  <c r="E95" i="8"/>
  <c r="E93" i="8"/>
  <c r="M101" i="8" l="1"/>
  <c r="N101" i="8"/>
  <c r="O101" i="8"/>
  <c r="L103" i="8"/>
  <c r="O103" i="8"/>
  <c r="L102" i="8"/>
  <c r="O102" i="8"/>
  <c r="N102" i="8"/>
  <c r="N98" i="8"/>
  <c r="L98" i="8"/>
  <c r="O98" i="8"/>
  <c r="M98" i="8"/>
  <c r="N96" i="8"/>
  <c r="L96" i="8"/>
  <c r="O96" i="8"/>
  <c r="M96" i="8"/>
  <c r="I140" i="8"/>
  <c r="J140" i="8" s="1"/>
  <c r="I139" i="8"/>
  <c r="J139" i="8" s="1"/>
  <c r="I138" i="8"/>
  <c r="J138" i="8" s="1"/>
  <c r="I137" i="8"/>
  <c r="J137" i="8" s="1"/>
  <c r="I136" i="8"/>
  <c r="J136" i="8" s="1"/>
  <c r="I135" i="8"/>
  <c r="J135" i="8" s="1"/>
  <c r="I134" i="8"/>
  <c r="J134" i="8" s="1"/>
  <c r="I133" i="8"/>
  <c r="J133" i="8" s="1"/>
  <c r="I132" i="8"/>
  <c r="J132" i="8" s="1"/>
  <c r="I131" i="8"/>
  <c r="J131" i="8" s="1"/>
  <c r="I130" i="8"/>
  <c r="O112" i="8" l="1"/>
  <c r="L106" i="8"/>
  <c r="K130" i="8"/>
  <c r="N130" i="8" s="1"/>
  <c r="N106" i="8"/>
  <c r="O106" i="8"/>
  <c r="K131" i="8"/>
  <c r="K133" i="8"/>
  <c r="K135" i="8"/>
  <c r="M135" i="8" s="1"/>
  <c r="K137" i="8"/>
  <c r="M137" i="8" s="1"/>
  <c r="K139" i="8"/>
  <c r="M139" i="8" s="1"/>
  <c r="K132" i="8"/>
  <c r="N132" i="8" s="1"/>
  <c r="K134" i="8"/>
  <c r="N134" i="8" s="1"/>
  <c r="K136" i="8"/>
  <c r="N136" i="8" s="1"/>
  <c r="K138" i="8"/>
  <c r="N138" i="8" s="1"/>
  <c r="K140" i="8"/>
  <c r="N140" i="8" s="1"/>
  <c r="O130" i="8"/>
  <c r="M134" i="8"/>
  <c r="O136" i="8"/>
  <c r="O138" i="8"/>
  <c r="L130" i="8"/>
  <c r="M131" i="8"/>
  <c r="M133" i="8"/>
  <c r="L134" i="8"/>
  <c r="I123" i="8"/>
  <c r="M130" i="8" l="1"/>
  <c r="L138" i="8"/>
  <c r="M138" i="8"/>
  <c r="O134" i="8"/>
  <c r="O140" i="8"/>
  <c r="O132" i="8"/>
  <c r="L140" i="8"/>
  <c r="L136" i="8"/>
  <c r="L132" i="8"/>
  <c r="M140" i="8"/>
  <c r="M136" i="8"/>
  <c r="M132" i="8"/>
  <c r="O137" i="8"/>
  <c r="L137" i="8"/>
  <c r="N137" i="8"/>
  <c r="O133" i="8"/>
  <c r="L133" i="8"/>
  <c r="N133" i="8"/>
  <c r="O139" i="8"/>
  <c r="L139" i="8"/>
  <c r="N139" i="8"/>
  <c r="O135" i="8"/>
  <c r="L135" i="8"/>
  <c r="N135" i="8"/>
  <c r="O131" i="8"/>
  <c r="L131" i="8"/>
  <c r="N131" i="8"/>
  <c r="I94" i="8"/>
  <c r="J94" i="8" l="1"/>
  <c r="K94" i="8"/>
  <c r="K95" i="8" s="1"/>
  <c r="I92" i="8"/>
  <c r="J92" i="8" s="1"/>
  <c r="I91" i="8"/>
  <c r="K91" i="8" s="1"/>
  <c r="I90" i="8"/>
  <c r="J90" i="8" s="1"/>
  <c r="I89" i="8"/>
  <c r="K89" i="8" s="1"/>
  <c r="M94" i="8" l="1"/>
  <c r="O94" i="8"/>
  <c r="O95" i="8" s="1"/>
  <c r="N94" i="8"/>
  <c r="N95" i="8" s="1"/>
  <c r="L94" i="8"/>
  <c r="J89" i="8"/>
  <c r="J91" i="8"/>
  <c r="O89" i="8"/>
  <c r="M89" i="8"/>
  <c r="N89" i="8"/>
  <c r="L89" i="8"/>
  <c r="O91" i="8"/>
  <c r="M91" i="8"/>
  <c r="N91" i="8"/>
  <c r="L91" i="8"/>
  <c r="K90" i="8"/>
  <c r="K92" i="8"/>
  <c r="E88" i="8"/>
  <c r="I87" i="8"/>
  <c r="K87" i="8" s="1"/>
  <c r="I86" i="8"/>
  <c r="J86" i="8" s="1"/>
  <c r="I85" i="8"/>
  <c r="K85" i="8" s="1"/>
  <c r="I84" i="8"/>
  <c r="J84" i="8" s="1"/>
  <c r="I83" i="8"/>
  <c r="K83" i="8" s="1"/>
  <c r="I82" i="8"/>
  <c r="J82" i="8" s="1"/>
  <c r="I81" i="8"/>
  <c r="K81" i="8" s="1"/>
  <c r="K93" i="8" l="1"/>
  <c r="L95" i="8"/>
  <c r="N90" i="8"/>
  <c r="L90" i="8"/>
  <c r="O90" i="8"/>
  <c r="M90" i="8"/>
  <c r="N92" i="8"/>
  <c r="L92" i="8"/>
  <c r="O92" i="8"/>
  <c r="M92" i="8"/>
  <c r="O81" i="8"/>
  <c r="M81" i="8"/>
  <c r="N81" i="8"/>
  <c r="L81" i="8"/>
  <c r="O85" i="8"/>
  <c r="M85" i="8"/>
  <c r="N85" i="8"/>
  <c r="L85" i="8"/>
  <c r="O83" i="8"/>
  <c r="M83" i="8"/>
  <c r="N83" i="8"/>
  <c r="L83" i="8"/>
  <c r="O87" i="8"/>
  <c r="M87" i="8"/>
  <c r="N87" i="8"/>
  <c r="L87" i="8"/>
  <c r="J81" i="8"/>
  <c r="K82" i="8"/>
  <c r="J83" i="8"/>
  <c r="K84" i="8"/>
  <c r="J85" i="8"/>
  <c r="K86" i="8"/>
  <c r="J87" i="8"/>
  <c r="E80" i="8"/>
  <c r="L93" i="8" l="1"/>
  <c r="O93" i="8"/>
  <c r="N93" i="8"/>
  <c r="N84" i="8"/>
  <c r="L84" i="8"/>
  <c r="O84" i="8"/>
  <c r="M84" i="8"/>
  <c r="N82" i="8"/>
  <c r="L82" i="8"/>
  <c r="O82" i="8"/>
  <c r="M82" i="8"/>
  <c r="K88" i="8"/>
  <c r="N86" i="8"/>
  <c r="L86" i="8"/>
  <c r="O86" i="8"/>
  <c r="M86" i="8"/>
  <c r="I79" i="8"/>
  <c r="K79" i="8" s="1"/>
  <c r="I78" i="8"/>
  <c r="K78" i="8" s="1"/>
  <c r="I77" i="8"/>
  <c r="J77" i="8" s="1"/>
  <c r="I76" i="8"/>
  <c r="J76" i="8" s="1"/>
  <c r="I75" i="8"/>
  <c r="K75" i="8" s="1"/>
  <c r="I74" i="8"/>
  <c r="K74" i="8" s="1"/>
  <c r="I73" i="8"/>
  <c r="J73" i="8" s="1"/>
  <c r="I72" i="8"/>
  <c r="J72" i="8" s="1"/>
  <c r="N88" i="8" l="1"/>
  <c r="L88" i="8"/>
  <c r="K72" i="8"/>
  <c r="M72" i="8" s="1"/>
  <c r="K76" i="8"/>
  <c r="M76" i="8" s="1"/>
  <c r="K77" i="8"/>
  <c r="N77" i="8" s="1"/>
  <c r="K73" i="8"/>
  <c r="N73" i="8" s="1"/>
  <c r="N72" i="8"/>
  <c r="N76" i="8"/>
  <c r="N75" i="8"/>
  <c r="L75" i="8"/>
  <c r="O75" i="8"/>
  <c r="M75" i="8"/>
  <c r="L79" i="8"/>
  <c r="O79" i="8"/>
  <c r="N79" i="8"/>
  <c r="M79" i="8"/>
  <c r="O74" i="8"/>
  <c r="N74" i="8"/>
  <c r="M74" i="8"/>
  <c r="L74" i="8"/>
  <c r="L78" i="8"/>
  <c r="O78" i="8"/>
  <c r="N78" i="8"/>
  <c r="M78" i="8"/>
  <c r="O77" i="8"/>
  <c r="L73" i="8"/>
  <c r="J75" i="8"/>
  <c r="O76" i="8"/>
  <c r="J79" i="8"/>
  <c r="J74" i="8"/>
  <c r="J78" i="8"/>
  <c r="M77" i="8" l="1"/>
  <c r="L72" i="8"/>
  <c r="L77" i="8"/>
  <c r="O72" i="8"/>
  <c r="L76" i="8"/>
  <c r="O73" i="8"/>
  <c r="K80" i="8"/>
  <c r="M73" i="8"/>
  <c r="N80" i="8"/>
  <c r="I129" i="8"/>
  <c r="K129" i="8" s="1"/>
  <c r="I128" i="8"/>
  <c r="K128" i="8" s="1"/>
  <c r="I127" i="8"/>
  <c r="K127" i="8" s="1"/>
  <c r="C120" i="8"/>
  <c r="C143" i="8" s="1"/>
  <c r="E71" i="8"/>
  <c r="I70" i="8"/>
  <c r="J70" i="8" s="1"/>
  <c r="I57" i="8"/>
  <c r="K57" i="8" s="1"/>
  <c r="I32" i="8"/>
  <c r="I44" i="8"/>
  <c r="I64" i="8"/>
  <c r="K64" i="8" s="1"/>
  <c r="I69" i="8"/>
  <c r="J69" i="8" s="1"/>
  <c r="I68" i="8"/>
  <c r="K68" i="8" s="1"/>
  <c r="I67" i="8"/>
  <c r="J67" i="8" s="1"/>
  <c r="I66" i="8"/>
  <c r="K66" i="8" s="1"/>
  <c r="I65" i="8"/>
  <c r="J65" i="8" s="1"/>
  <c r="O127" i="8" l="1"/>
  <c r="L127" i="8"/>
  <c r="N127" i="8"/>
  <c r="M127" i="8"/>
  <c r="O129" i="8"/>
  <c r="L129" i="8"/>
  <c r="N129" i="8"/>
  <c r="M129" i="8"/>
  <c r="N128" i="8"/>
  <c r="M128" i="8"/>
  <c r="L128" i="8"/>
  <c r="O128" i="8"/>
  <c r="L80" i="8"/>
  <c r="J57" i="8"/>
  <c r="K70" i="8"/>
  <c r="L70" i="8" s="1"/>
  <c r="J129" i="8"/>
  <c r="J127" i="8"/>
  <c r="J128" i="8"/>
  <c r="J130" i="8"/>
  <c r="J64" i="8"/>
  <c r="J66" i="8"/>
  <c r="J68" i="8"/>
  <c r="O64" i="8"/>
  <c r="M64" i="8"/>
  <c r="N64" i="8"/>
  <c r="L64" i="8"/>
  <c r="O68" i="8"/>
  <c r="M68" i="8"/>
  <c r="N68" i="8"/>
  <c r="L68" i="8"/>
  <c r="O66" i="8"/>
  <c r="M66" i="8"/>
  <c r="N66" i="8"/>
  <c r="L66" i="8"/>
  <c r="K65" i="8"/>
  <c r="K69" i="8"/>
  <c r="K67" i="8"/>
  <c r="E63" i="8"/>
  <c r="I62" i="8"/>
  <c r="J62" i="8" s="1"/>
  <c r="I61" i="8"/>
  <c r="J61" i="8" s="1"/>
  <c r="K71" i="8" l="1"/>
  <c r="N70" i="8"/>
  <c r="M70" i="8"/>
  <c r="O70" i="8"/>
  <c r="N69" i="8"/>
  <c r="L69" i="8"/>
  <c r="O69" i="8"/>
  <c r="M69" i="8"/>
  <c r="N67" i="8"/>
  <c r="L67" i="8"/>
  <c r="O67" i="8"/>
  <c r="M67" i="8"/>
  <c r="N65" i="8"/>
  <c r="L65" i="8"/>
  <c r="O65" i="8"/>
  <c r="M65" i="8"/>
  <c r="K62" i="8"/>
  <c r="O62" i="8" s="1"/>
  <c r="K61" i="8"/>
  <c r="L61" i="8" s="1"/>
  <c r="M62" i="8"/>
  <c r="K123" i="8"/>
  <c r="O61" i="8" l="1"/>
  <c r="N62" i="8"/>
  <c r="L62" i="8"/>
  <c r="N71" i="8"/>
  <c r="L71" i="8"/>
  <c r="N61" i="8"/>
  <c r="M61" i="8"/>
  <c r="J123" i="8"/>
  <c r="E56" i="8" l="1"/>
  <c r="I59" i="8"/>
  <c r="J59" i="8" s="1"/>
  <c r="I60" i="8"/>
  <c r="J60" i="8" s="1"/>
  <c r="I58" i="8"/>
  <c r="J58" i="8" s="1"/>
  <c r="I51" i="8"/>
  <c r="I55" i="8"/>
  <c r="K55" i="8" s="1"/>
  <c r="K59" i="8" l="1"/>
  <c r="O59" i="8" s="1"/>
  <c r="N55" i="8"/>
  <c r="L55" i="8"/>
  <c r="K60" i="8"/>
  <c r="L60" i="8" s="1"/>
  <c r="K58" i="8"/>
  <c r="O58" i="8" s="1"/>
  <c r="N57" i="8"/>
  <c r="M57" i="8"/>
  <c r="I126" i="8"/>
  <c r="I125" i="8"/>
  <c r="I54" i="8"/>
  <c r="K54" i="8" s="1"/>
  <c r="I53" i="8"/>
  <c r="J53" i="8" s="1"/>
  <c r="I52" i="8"/>
  <c r="K52" i="8" s="1"/>
  <c r="J51" i="8"/>
  <c r="I50" i="8"/>
  <c r="K50" i="8" s="1"/>
  <c r="I49" i="8"/>
  <c r="J49" i="8" s="1"/>
  <c r="I48" i="8"/>
  <c r="K48" i="8" s="1"/>
  <c r="I47" i="8"/>
  <c r="J47" i="8" s="1"/>
  <c r="I46" i="8"/>
  <c r="K46" i="8" s="1"/>
  <c r="I45" i="8"/>
  <c r="J45" i="8" s="1"/>
  <c r="K44" i="8"/>
  <c r="J124" i="8" l="1"/>
  <c r="K124" i="8"/>
  <c r="J126" i="8"/>
  <c r="K126" i="8"/>
  <c r="J125" i="8"/>
  <c r="K125" i="8"/>
  <c r="O60" i="8"/>
  <c r="M59" i="8"/>
  <c r="N59" i="8"/>
  <c r="L59" i="8"/>
  <c r="N60" i="8"/>
  <c r="M60" i="8"/>
  <c r="M58" i="8"/>
  <c r="N58" i="8"/>
  <c r="K63" i="8"/>
  <c r="L58" i="8"/>
  <c r="O57" i="8"/>
  <c r="L57" i="8"/>
  <c r="J48" i="8"/>
  <c r="O123" i="8"/>
  <c r="M123" i="8"/>
  <c r="N123" i="8"/>
  <c r="L123" i="8"/>
  <c r="O55" i="8"/>
  <c r="M55" i="8"/>
  <c r="J55" i="8"/>
  <c r="J44" i="8"/>
  <c r="J46" i="8"/>
  <c r="J50" i="8"/>
  <c r="J54" i="8"/>
  <c r="J52" i="8"/>
  <c r="O44" i="8"/>
  <c r="M44" i="8"/>
  <c r="N44" i="8"/>
  <c r="L44" i="8"/>
  <c r="O48" i="8"/>
  <c r="M48" i="8"/>
  <c r="N48" i="8"/>
  <c r="L48" i="8"/>
  <c r="O52" i="8"/>
  <c r="M52" i="8"/>
  <c r="N52" i="8"/>
  <c r="L52" i="8"/>
  <c r="O46" i="8"/>
  <c r="M46" i="8"/>
  <c r="N46" i="8"/>
  <c r="L46" i="8"/>
  <c r="O50" i="8"/>
  <c r="M50" i="8"/>
  <c r="N50" i="8"/>
  <c r="L50" i="8"/>
  <c r="O54" i="8"/>
  <c r="M54" i="8"/>
  <c r="N54" i="8"/>
  <c r="L54" i="8"/>
  <c r="K45" i="8"/>
  <c r="K47" i="8"/>
  <c r="K49" i="8"/>
  <c r="K51" i="8"/>
  <c r="K53" i="8"/>
  <c r="O125" i="8" l="1"/>
  <c r="L125" i="8"/>
  <c r="N125" i="8"/>
  <c r="M125" i="8"/>
  <c r="N126" i="8"/>
  <c r="M126" i="8"/>
  <c r="L126" i="8"/>
  <c r="O126" i="8"/>
  <c r="N124" i="8"/>
  <c r="M124" i="8"/>
  <c r="N145" i="8" s="1"/>
  <c r="L124" i="8"/>
  <c r="K143" i="8" s="1"/>
  <c r="K151" i="8" s="1"/>
  <c r="K153" i="8" s="1"/>
  <c r="O124" i="8"/>
  <c r="N63" i="8"/>
  <c r="L63" i="8"/>
  <c r="K56" i="8"/>
  <c r="N47" i="8"/>
  <c r="L47" i="8"/>
  <c r="O47" i="8"/>
  <c r="M47" i="8"/>
  <c r="N53" i="8"/>
  <c r="L53" i="8"/>
  <c r="O53" i="8"/>
  <c r="M53" i="8"/>
  <c r="N49" i="8"/>
  <c r="L49" i="8"/>
  <c r="O49" i="8"/>
  <c r="M49" i="8"/>
  <c r="N45" i="8"/>
  <c r="L45" i="8"/>
  <c r="O45" i="8"/>
  <c r="M45" i="8"/>
  <c r="N51" i="8"/>
  <c r="L51" i="8"/>
  <c r="O51" i="8"/>
  <c r="M51" i="8"/>
  <c r="O145" i="8" l="1"/>
  <c r="M145" i="8" s="1"/>
  <c r="O56" i="8"/>
  <c r="N56" i="8"/>
  <c r="L56" i="8"/>
  <c r="E43" i="8"/>
  <c r="I42" i="8"/>
  <c r="J42" i="8" s="1"/>
  <c r="I41" i="8"/>
  <c r="K41" i="8" s="1"/>
  <c r="I40" i="8"/>
  <c r="K40" i="8" s="1"/>
  <c r="I39" i="8"/>
  <c r="J39" i="8" s="1"/>
  <c r="I38" i="8"/>
  <c r="J38" i="8" s="1"/>
  <c r="I37" i="8"/>
  <c r="K37" i="8" s="1"/>
  <c r="I36" i="8"/>
  <c r="K36" i="8" s="1"/>
  <c r="I35" i="8"/>
  <c r="J35" i="8" s="1"/>
  <c r="I34" i="8"/>
  <c r="J34" i="8" s="1"/>
  <c r="I33" i="8"/>
  <c r="K33" i="8" s="1"/>
  <c r="K32" i="8"/>
  <c r="O63" i="8" l="1"/>
  <c r="O71" i="8" s="1"/>
  <c r="O80" i="8" s="1"/>
  <c r="O88" i="8" s="1"/>
  <c r="K34" i="8"/>
  <c r="L34" i="8" s="1"/>
  <c r="K38" i="8"/>
  <c r="M38" i="8" s="1"/>
  <c r="K42" i="8"/>
  <c r="M42" i="8" s="1"/>
  <c r="K35" i="8"/>
  <c r="K39" i="8"/>
  <c r="O39" i="8" s="1"/>
  <c r="N32" i="8"/>
  <c r="L32" i="8"/>
  <c r="O32" i="8"/>
  <c r="M32" i="8"/>
  <c r="N36" i="8"/>
  <c r="M36" i="8"/>
  <c r="O36" i="8"/>
  <c r="L36" i="8"/>
  <c r="L40" i="8"/>
  <c r="O40" i="8"/>
  <c r="N40" i="8"/>
  <c r="M40" i="8"/>
  <c r="M33" i="8"/>
  <c r="L33" i="8"/>
  <c r="O33" i="8"/>
  <c r="N33" i="8"/>
  <c r="M41" i="8"/>
  <c r="L41" i="8"/>
  <c r="O41" i="8"/>
  <c r="N41" i="8"/>
  <c r="N37" i="8"/>
  <c r="M37" i="8"/>
  <c r="L37" i="8"/>
  <c r="O37" i="8"/>
  <c r="J33" i="8"/>
  <c r="J37" i="8"/>
  <c r="J41" i="8"/>
  <c r="J32" i="8"/>
  <c r="J36" i="8"/>
  <c r="J40" i="8"/>
  <c r="I21" i="8"/>
  <c r="K21" i="8" s="1"/>
  <c r="O21" i="8" s="1"/>
  <c r="I24" i="8"/>
  <c r="K24" i="8" s="1"/>
  <c r="E31" i="8"/>
  <c r="I30" i="8"/>
  <c r="K30" i="8" s="1"/>
  <c r="I29" i="8"/>
  <c r="J29" i="8" s="1"/>
  <c r="I28" i="8"/>
  <c r="K28" i="8" s="1"/>
  <c r="I27" i="8"/>
  <c r="K27" i="8" s="1"/>
  <c r="I26" i="8"/>
  <c r="K26" i="8" s="1"/>
  <c r="I25" i="8"/>
  <c r="J25" i="8" s="1"/>
  <c r="I23" i="8"/>
  <c r="K23" i="8" s="1"/>
  <c r="I22" i="8"/>
  <c r="K22" i="8" s="1"/>
  <c r="I20" i="8"/>
  <c r="J20" i="8" s="1"/>
  <c r="I19" i="8"/>
  <c r="K19" i="8" s="1"/>
  <c r="I18" i="8"/>
  <c r="K18" i="8" s="1"/>
  <c r="O34" i="8" l="1"/>
  <c r="K43" i="8"/>
  <c r="L35" i="8"/>
  <c r="M35" i="8"/>
  <c r="O42" i="8"/>
  <c r="N35" i="8"/>
  <c r="L38" i="8"/>
  <c r="O35" i="8"/>
  <c r="M34" i="8"/>
  <c r="L39" i="8"/>
  <c r="N39" i="8"/>
  <c r="L42" i="8"/>
  <c r="O38" i="8"/>
  <c r="N34" i="8"/>
  <c r="N42" i="8"/>
  <c r="N38" i="8"/>
  <c r="M39" i="8"/>
  <c r="J21" i="8"/>
  <c r="J24" i="8"/>
  <c r="N24" i="8"/>
  <c r="M24" i="8"/>
  <c r="O24" i="8"/>
  <c r="L24" i="8"/>
  <c r="J19" i="8"/>
  <c r="L21" i="8"/>
  <c r="J28" i="8"/>
  <c r="N21" i="8"/>
  <c r="M21" i="8"/>
  <c r="M28" i="8"/>
  <c r="N28" i="8"/>
  <c r="L28" i="8"/>
  <c r="M19" i="8"/>
  <c r="N19" i="8"/>
  <c r="L19" i="8"/>
  <c r="K20" i="8"/>
  <c r="N20" i="8" s="1"/>
  <c r="J26" i="8"/>
  <c r="K29" i="8"/>
  <c r="N29" i="8" s="1"/>
  <c r="J22" i="8"/>
  <c r="K25" i="8"/>
  <c r="N25" i="8" s="1"/>
  <c r="J30" i="8"/>
  <c r="O22" i="8"/>
  <c r="N22" i="8"/>
  <c r="M22" i="8"/>
  <c r="L22" i="8"/>
  <c r="L23" i="8"/>
  <c r="O23" i="8"/>
  <c r="M23" i="8"/>
  <c r="N23" i="8"/>
  <c r="O26" i="8"/>
  <c r="N26" i="8"/>
  <c r="M26" i="8"/>
  <c r="L26" i="8"/>
  <c r="L18" i="8"/>
  <c r="O18" i="8"/>
  <c r="N18" i="8"/>
  <c r="M18" i="8"/>
  <c r="L27" i="8"/>
  <c r="O27" i="8"/>
  <c r="N27" i="8"/>
  <c r="M27" i="8"/>
  <c r="O30" i="8"/>
  <c r="N30" i="8"/>
  <c r="M30" i="8"/>
  <c r="L30" i="8"/>
  <c r="O29" i="8"/>
  <c r="J18" i="8"/>
  <c r="O19" i="8"/>
  <c r="J23" i="8"/>
  <c r="J27" i="8"/>
  <c r="O28" i="8"/>
  <c r="I17" i="8"/>
  <c r="J17" i="8" s="1"/>
  <c r="I16" i="8"/>
  <c r="K16" i="8" s="1"/>
  <c r="I15" i="8"/>
  <c r="K15" i="8" s="1"/>
  <c r="I14" i="8"/>
  <c r="K14" i="8" s="1"/>
  <c r="I13" i="8"/>
  <c r="J13" i="8" s="1"/>
  <c r="N43" i="8" l="1"/>
  <c r="L43" i="8"/>
  <c r="O43" i="8"/>
  <c r="M29" i="8"/>
  <c r="L29" i="8"/>
  <c r="M25" i="8"/>
  <c r="M20" i="8"/>
  <c r="L20" i="8"/>
  <c r="O25" i="8"/>
  <c r="O20" i="8"/>
  <c r="L25" i="8"/>
  <c r="M16" i="8"/>
  <c r="N16" i="8"/>
  <c r="K13" i="8"/>
  <c r="J16" i="8"/>
  <c r="K17" i="8"/>
  <c r="N17" i="8" s="1"/>
  <c r="L14" i="8"/>
  <c r="O14" i="8"/>
  <c r="N14" i="8"/>
  <c r="M14" i="8"/>
  <c r="L15" i="8"/>
  <c r="O15" i="8"/>
  <c r="N15" i="8"/>
  <c r="M15" i="8"/>
  <c r="J15" i="8"/>
  <c r="O16" i="8"/>
  <c r="J14" i="8"/>
  <c r="L16" i="8"/>
  <c r="E12" i="8"/>
  <c r="E149" i="8" s="1"/>
  <c r="I9" i="8"/>
  <c r="J9" i="8" s="1"/>
  <c r="I11" i="8"/>
  <c r="K11" i="8" s="1"/>
  <c r="I10" i="8"/>
  <c r="K10" i="8" s="1"/>
  <c r="I8" i="8"/>
  <c r="K8" i="8" s="1"/>
  <c r="I7" i="8"/>
  <c r="J7" i="8" s="1"/>
  <c r="N13" i="8" l="1"/>
  <c r="N31" i="8" s="1"/>
  <c r="K31" i="8"/>
  <c r="L17" i="8"/>
  <c r="O17" i="8"/>
  <c r="M17" i="8"/>
  <c r="O13" i="8"/>
  <c r="M13" i="8"/>
  <c r="L13" i="8"/>
  <c r="K9" i="8"/>
  <c r="O9" i="8" s="1"/>
  <c r="K7" i="8"/>
  <c r="L7" i="8" s="1"/>
  <c r="M11" i="8"/>
  <c r="N11" i="8"/>
  <c r="J11" i="8"/>
  <c r="L8" i="8"/>
  <c r="O8" i="8"/>
  <c r="N8" i="8"/>
  <c r="M8" i="8"/>
  <c r="M10" i="8"/>
  <c r="L10" i="8"/>
  <c r="O10" i="8"/>
  <c r="N10" i="8"/>
  <c r="J10" i="8"/>
  <c r="O11" i="8"/>
  <c r="J8" i="8"/>
  <c r="L11" i="8"/>
  <c r="L31" i="8" l="1"/>
  <c r="O31" i="8"/>
  <c r="N9" i="8"/>
  <c r="L9" i="8"/>
  <c r="M9" i="8"/>
  <c r="N7" i="8"/>
  <c r="M7" i="8"/>
  <c r="O7" i="8"/>
  <c r="O12" i="8" s="1"/>
  <c r="K12" i="8"/>
  <c r="M118" i="8" l="1"/>
  <c r="N12" i="8"/>
  <c r="L12" i="8"/>
  <c r="K115" i="8" s="1"/>
  <c r="K149" i="8" s="1"/>
  <c r="D11" i="9" l="1"/>
  <c r="O1" i="8" l="1"/>
  <c r="C11" i="9" l="1"/>
  <c r="E11" i="9"/>
</calcChain>
</file>

<file path=xl/sharedStrings.xml><?xml version="1.0" encoding="utf-8"?>
<sst xmlns="http://schemas.openxmlformats.org/spreadsheetml/2006/main" count="302" uniqueCount="267">
  <si>
    <t>Nº</t>
  </si>
  <si>
    <t>Nº Factura</t>
  </si>
  <si>
    <t>CERT. OBRA (O)</t>
  </si>
  <si>
    <t>(2) FECHA VºBº CERTIF. OBRA</t>
  </si>
  <si>
    <t>(3) FECHA DE PAGO</t>
  </si>
  <si>
    <t>CUMPLE PLAZO (S/N)</t>
  </si>
  <si>
    <t xml:space="preserve">CUMPLEN </t>
  </si>
  <si>
    <t>INCUMPLEN</t>
  </si>
  <si>
    <t>TOTAL</t>
  </si>
  <si>
    <t>HASTA:</t>
  </si>
  <si>
    <t>CÁLCULO DE PERIODOS MEDIOS DE PAGO</t>
  </si>
  <si>
    <t>FACTURAS PENDIENTES DE PAGO A:</t>
  </si>
  <si>
    <t>(3) FECHA FIN ÚLTIMO MES</t>
  </si>
  <si>
    <t xml:space="preserve"> (I) IMPORTE PAGADO</t>
  </si>
  <si>
    <t>Nº PAGOS ACUMULADOS:</t>
  </si>
  <si>
    <t>(Importes en Euros)</t>
  </si>
  <si>
    <t>PAGOS QUE CUMPLEN PMP</t>
  </si>
  <si>
    <t>PAGOS QUE INCUMPLEN PMP</t>
  </si>
  <si>
    <t>IMPORTES</t>
  </si>
  <si>
    <t>Nº PAGOS ÚLTIMO MES:</t>
  </si>
  <si>
    <t>Nº OPERACIONES PENDIENTES:</t>
  </si>
  <si>
    <t>PENDIENTE DE PAGO A:</t>
  </si>
  <si>
    <t>TOTAL PAGADO HASTA:</t>
  </si>
  <si>
    <t>Nombre del Proveedor</t>
  </si>
  <si>
    <t>(1) FECHA ENTRADA FACTURA</t>
  </si>
  <si>
    <t>RATIO OPERACIONES PAGADAS EN EL ÚLTIMO MES</t>
  </si>
  <si>
    <t>RATIO OPERACIONES PAGADAS EN EL PERIODO</t>
  </si>
  <si>
    <t>DESDE:</t>
  </si>
  <si>
    <t>PERIODO:</t>
  </si>
  <si>
    <t xml:space="preserve">RATIO OPERACIONES PENDIENTES DE PAGO A: </t>
  </si>
  <si>
    <t>PERÍODO MEDIO DE PAGO ENTIDAD</t>
  </si>
  <si>
    <t>PMP (DÍAS)</t>
  </si>
  <si>
    <t>AQUASERVICE</t>
  </si>
  <si>
    <t>MPRESA / ENTE : CONSORCIO URBANÍSTICO LEGANES TECNOLÓGICO</t>
  </si>
  <si>
    <t>(4)FECHA INICIO DEL PLAZO ((1) ó (2))+30</t>
  </si>
  <si>
    <t>FECHA FIN DE PLAZO MÁXIMO DE PAGO (4)+30</t>
  </si>
  <si>
    <t>(I) * (5)</t>
  </si>
  <si>
    <t>(5) DÍAS DE PAGO (3)-(4)</t>
  </si>
  <si>
    <t>DATO QUE PIDEN</t>
  </si>
  <si>
    <t>COMUNIDAD DE MADRID</t>
  </si>
  <si>
    <t xml:space="preserve">PERIODO MEDIO DE PAGO </t>
  </si>
  <si>
    <t>CONSORCIO URBANISTICO LEGANES TECNOLOGICO</t>
  </si>
  <si>
    <t>En días</t>
  </si>
  <si>
    <t>NOMBRE ENTIDAD</t>
  </si>
  <si>
    <t>RATIO DE OPERACIONES PAGADAS *</t>
  </si>
  <si>
    <t>RATIO DE OPERACIONES PENDIENTES DE PAGO *</t>
  </si>
  <si>
    <t>PERIODO MEDIO DE PAGO MENSUAL *</t>
  </si>
  <si>
    <t xml:space="preserve">* Cuando el dato se refleja entre paréntesis se refiere a un importe negativo, representativo bien de una mayor celeridad, en término medio, en el pago por parte de la Entidad en relación al periodo máximo previsto legalmente con carácter general para dar conformidad a la factura, o bien a que las operaciones pendientes de pago de la Entidad se encuentran, en término medio, en un momento anterior a dicho periodo máximo. </t>
  </si>
  <si>
    <t>TA5I20155311</t>
  </si>
  <si>
    <t>2.017/5</t>
  </si>
  <si>
    <t>SAQQARA (SE PAGA A 30 DÍAS)</t>
  </si>
  <si>
    <t>2.017/6</t>
  </si>
  <si>
    <t>TOTAL FEBRERO-17</t>
  </si>
  <si>
    <t>Telefonica moviles</t>
  </si>
  <si>
    <t>Viva aqua Sevice</t>
  </si>
  <si>
    <t>Telefonica España</t>
  </si>
  <si>
    <t>1M10768</t>
  </si>
  <si>
    <t>UNIVERSIDAD CARLOS III , utilización salas Enero 2017</t>
  </si>
  <si>
    <t>178/20170000000000035</t>
  </si>
  <si>
    <t>Secretaria Jose Luis Jaraba mes de enero 2017</t>
  </si>
  <si>
    <t>Asesoramiento Jurídico Jose Luis Jaraba mes de enero 2017</t>
  </si>
  <si>
    <t>Grupo Tasvalor Tasación</t>
  </si>
  <si>
    <t>SAQQARA mantenimiento y gestión Web mes de febrero 2017</t>
  </si>
  <si>
    <t>Euroinformática World mantemiento mes de enero 2017</t>
  </si>
  <si>
    <t>MACOVIT Compensación onerosa referente al contrato 06/09/2010</t>
  </si>
  <si>
    <t>ENTIDAD UC PARQUE LEGANES TECNOLOGICO FASE I</t>
  </si>
  <si>
    <t>UNIVERSIDAD CARLOS III , utilización salas febrero 2017</t>
  </si>
  <si>
    <t>01/2017</t>
  </si>
  <si>
    <t>5/2017</t>
  </si>
  <si>
    <t>F-3314/7</t>
  </si>
  <si>
    <t>2017/166</t>
  </si>
  <si>
    <t>1 00043</t>
  </si>
  <si>
    <t>FV17000006</t>
  </si>
  <si>
    <t>018-17</t>
  </si>
  <si>
    <t>178/20170000000000070</t>
  </si>
  <si>
    <t>TA5N80154546</t>
  </si>
  <si>
    <t>TA5N80156045</t>
  </si>
  <si>
    <t>TOTAL MARZO-17</t>
  </si>
  <si>
    <t>28-C781-669395</t>
  </si>
  <si>
    <t>Aqua Service</t>
  </si>
  <si>
    <t>1M23553</t>
  </si>
  <si>
    <t>Telefonica España Fijo 916896774</t>
  </si>
  <si>
    <t>Telefonica España Fax 914987193</t>
  </si>
  <si>
    <t>SEGURO WILLIS TOWERS WATSON</t>
  </si>
  <si>
    <t>Secretaria Jose Luis Jaraba mes de febrero 2017</t>
  </si>
  <si>
    <t>Asesoramiento Jurídico Jose Luis Jaraba mes de febrero 2017</t>
  </si>
  <si>
    <t>TA5N90151615</t>
  </si>
  <si>
    <t>TA5N90153056</t>
  </si>
  <si>
    <t>11/2017</t>
  </si>
  <si>
    <t>15/2017</t>
  </si>
  <si>
    <t>UNIVERSIDAD CARLOS III , utilización salas MARZO 2017</t>
  </si>
  <si>
    <t>178/20170000000000111</t>
  </si>
  <si>
    <t>Telefónica - móvil</t>
  </si>
  <si>
    <t>28-D781-619761</t>
  </si>
  <si>
    <t>1M37825</t>
  </si>
  <si>
    <t>NACEX - MARZO</t>
  </si>
  <si>
    <t>TRANSPORTES TRES CANTOS - MUDANZA LEGANES</t>
  </si>
  <si>
    <t xml:space="preserve">GESCONTROL </t>
  </si>
  <si>
    <t>EIW EURO INFORMÁTICA WORLD, mantenimiento marzo</t>
  </si>
  <si>
    <t>SAQQARA Informatica, S.L. Mod traducción en ingles</t>
  </si>
  <si>
    <t>SAQQARA Informatica, S.L.</t>
  </si>
  <si>
    <t>EIW SOLUCIONES- Renovación anual antivirus</t>
  </si>
  <si>
    <t>A 73450</t>
  </si>
  <si>
    <t>TA5NA0150751</t>
  </si>
  <si>
    <t>TA5NA0152158</t>
  </si>
  <si>
    <t>M17/0170</t>
  </si>
  <si>
    <t>0327/17</t>
  </si>
  <si>
    <t>1 000148</t>
  </si>
  <si>
    <t>2.017/668</t>
  </si>
  <si>
    <t>2.017/523</t>
  </si>
  <si>
    <t>1 000166</t>
  </si>
  <si>
    <t>TOTAL ABRIL-17</t>
  </si>
  <si>
    <t>GESCONTROL, 70 % auditoria ejercicio 2016</t>
  </si>
  <si>
    <t>Telefonica-móvil</t>
  </si>
  <si>
    <t>Telefónica  914987193</t>
  </si>
  <si>
    <t>SAQQARA Informatica, S.L. mantenimiento mes de mayo</t>
  </si>
  <si>
    <t>ENTIDAD UC PARQUE LEGANES TECNOLOGICO FASE I (abril, mayo y junio)</t>
  </si>
  <si>
    <t>Nacex - ERROR. Mes que viene nos hacen abono</t>
  </si>
  <si>
    <t>GOMEZ-ACEBO&amp;POMBO- Informe Revisión legal Proyecto Expropiación autovia Toledo Norte</t>
  </si>
  <si>
    <t>JUZGADO DE 1ª INSTANCIA Nº 2 DE MADRID. Demandante MACOVIT</t>
  </si>
  <si>
    <t>GESVALT 50% PRESUPUESTO TASACIONES</t>
  </si>
  <si>
    <t>EIW SOLUCIONES Cuota mantenimiento Hardware mes febrero 2017</t>
  </si>
  <si>
    <t>EIW SOLUCIONES Cuota mantenimiento Hardware mes abril 2017</t>
  </si>
  <si>
    <t>28-E781-633570</t>
  </si>
  <si>
    <t>TE5KL0002289</t>
  </si>
  <si>
    <t>0413/17</t>
  </si>
  <si>
    <t>2.017/693</t>
  </si>
  <si>
    <t>068-17</t>
  </si>
  <si>
    <t>A 15103</t>
  </si>
  <si>
    <t>10171645</t>
  </si>
  <si>
    <t>PO 73/2016</t>
  </si>
  <si>
    <t>1 000101</t>
  </si>
  <si>
    <t>1 000206</t>
  </si>
  <si>
    <t>TOTAL MAYO-17</t>
  </si>
  <si>
    <t>21/2017</t>
  </si>
  <si>
    <t>25/2017</t>
  </si>
  <si>
    <t>43/2017</t>
  </si>
  <si>
    <t>47/2017</t>
  </si>
  <si>
    <t>JOSE LUIS JARABA PEREZ secretaría del Consejo marzo 2017</t>
  </si>
  <si>
    <t>JOSE LUIS JARABA PEREZ asesoramiento Jurídico marzo 2017</t>
  </si>
  <si>
    <t>JOSE LUIS JARABA PEREZ secretaría del Consejo abril 2017</t>
  </si>
  <si>
    <t>JOSE LUIS JARABA PEREZ asesoramiento Jurídico abril 2017</t>
  </si>
  <si>
    <t>REGISTRO DE LA PROPIEDAD - ANA MARIA SOLCHAGA LOPEZ</t>
  </si>
  <si>
    <t>1M66137</t>
  </si>
  <si>
    <t>2017/5850</t>
  </si>
  <si>
    <t>1 000247</t>
  </si>
  <si>
    <t>002299/2017</t>
  </si>
  <si>
    <t>SAQQARA Informatica, S.L. junio</t>
  </si>
  <si>
    <t>TOTAL JUNIO-17</t>
  </si>
  <si>
    <t>GESVALT - Informe Tasación parcelas T1.3 y T1</t>
  </si>
  <si>
    <t>GV012409-2017</t>
  </si>
  <si>
    <t>REGISTRO DE LA PROPIEDAD Nº 2 - Vicente Carbonell Serrano</t>
  </si>
  <si>
    <t>3460</t>
  </si>
  <si>
    <t>TOTAL JULIO-17</t>
  </si>
  <si>
    <t>Registro de la propiedad</t>
  </si>
  <si>
    <t>2875</t>
  </si>
  <si>
    <t>Serenur (mensajeria mes mayo)</t>
  </si>
  <si>
    <t>4603</t>
  </si>
  <si>
    <t>EIW SOLUCIONES Cuota mantenimiento Hardware mes mayo 2017</t>
  </si>
  <si>
    <t>EIW SOLUCIONES Cuota mantenimiento Hardware mes junio 2017</t>
  </si>
  <si>
    <t>2017/1031</t>
  </si>
  <si>
    <t>SAQQARA Informatica, S.L. julio</t>
  </si>
  <si>
    <t>JOSE LUIS JARABA PEREZ secretaría del Consejo mayo 2017</t>
  </si>
  <si>
    <t>JOSE LUIS JARABA PEREZ asesoramiento Jurídico mayo 2017</t>
  </si>
  <si>
    <t>JOSE LUIS JARABA PEREZ secretaría del Consejo junio 2017</t>
  </si>
  <si>
    <t>JOSE LUIS JARABA PEREZ asesoramiento Jurídico junio 2017</t>
  </si>
  <si>
    <t>54/2017</t>
  </si>
  <si>
    <t>58/2017</t>
  </si>
  <si>
    <t>77/2017</t>
  </si>
  <si>
    <t>81/2017</t>
  </si>
  <si>
    <t>TOTAL AGOSTO-17</t>
  </si>
  <si>
    <t>Aqua Service, MES DE JULIO</t>
  </si>
  <si>
    <t>ENTIDAD CONSERVACIÓN- cuota julio, agosto, septiembre 2017</t>
  </si>
  <si>
    <t>COPIAS PRADO-copias proyecto expropiación</t>
  </si>
  <si>
    <t>SAQQUARA Informatica S.l. mantenimiento mes de agosto</t>
  </si>
  <si>
    <t>FOLDER - MATERIAL DE OFICINA</t>
  </si>
  <si>
    <t>IRON MOUNTAIN - CUSTODIA REGULAR MES DE JULIO</t>
  </si>
  <si>
    <t>EIW- MANTENIMIENTO HARDWARE MES DE JULIO</t>
  </si>
  <si>
    <t>SERENUR, mensajeria mes de julio</t>
  </si>
  <si>
    <t>1M97067</t>
  </si>
  <si>
    <t>120-17</t>
  </si>
  <si>
    <t>FH052720</t>
  </si>
  <si>
    <t>2017/1211</t>
  </si>
  <si>
    <t>C-008515</t>
  </si>
  <si>
    <t>17015302</t>
  </si>
  <si>
    <t>1 000337</t>
  </si>
  <si>
    <t>5848</t>
  </si>
  <si>
    <t>GRUPO RAGA - TRABAJOS DE DESBROCE EN PARCELAS</t>
  </si>
  <si>
    <t>IRON MOUNTTAIN ESPAÑA, S.A.U. ABRIL Y MAYO</t>
  </si>
  <si>
    <t>IRON MOUNTTAIN ESPAÑA, S.A.U. JUNIO</t>
  </si>
  <si>
    <t>FC0717-0018</t>
  </si>
  <si>
    <t>17012330</t>
  </si>
  <si>
    <t>17013178</t>
  </si>
  <si>
    <t>1M113172</t>
  </si>
  <si>
    <t>IRON MOUNTTAIN ESPAÑA, S.A.U.  CUSTODIA REGULAR AGOSTO</t>
  </si>
  <si>
    <t>17017048</t>
  </si>
  <si>
    <t>SAQQUARA Informatica S.l. mantenimiento mes de septiembre</t>
  </si>
  <si>
    <t>2.017/1.343</t>
  </si>
  <si>
    <t>EIW- MANTENIMIENTO HARDWARE MES DE AGOSTO</t>
  </si>
  <si>
    <t xml:space="preserve">1 000353 </t>
  </si>
  <si>
    <t>TOTAL SEPTIEMBRE-17</t>
  </si>
  <si>
    <t>JOSE LUIS JARABA - Honorarios P.O. 2626/2012 (60% final) + Honorarios presupuesto Rec. Casac. 121/2015</t>
  </si>
  <si>
    <t>JOSE LUIS JARABA -Honorarios P.O. 497/2013 (60% final) del Juzgado de lo Contencioso Administrativo nº 11</t>
  </si>
  <si>
    <t>JOSE LUIS JARABA -Honorarios P.O. 214/2013 (60% final) del Juzgado de lo Contencioso Administrativo nº 30</t>
  </si>
  <si>
    <t>JOSE LUIS JARABA -Honorarios P.O. 205/2013 (60% final) del Juzgado de lo Contencioso Administrativo nº 26</t>
  </si>
  <si>
    <t>JOSE LUIS JARABA -Honorarios P.O. 207/2013 (60% final) del Juzgado de lo Contencioso Administrativo nº 9 + Recurso de Apelación nº 11/2017 por el TSJ</t>
  </si>
  <si>
    <t>JOSE LUIS JARABA -Honorarios P.O. 210/2013 (60% final) del Juzgado de lo Contencioso Administrativo nº 22</t>
  </si>
  <si>
    <t>JOSE LUIS JARABA -Honorarios P.O. 210/2013 (60% final) del Juzgado de lo Contencioso Administrativo nº 17</t>
  </si>
  <si>
    <t>JOSE LUIS JARABA -Honorarios P.O. 208/2013 (60% final) del Juzgado de lo Contencioso Administrativo nº 1</t>
  </si>
  <si>
    <t>SERENUR, mensajeria mes de agosto</t>
  </si>
  <si>
    <t>112/2017</t>
  </si>
  <si>
    <t>105/2017</t>
  </si>
  <si>
    <t>106/2017</t>
  </si>
  <si>
    <t>107/2017</t>
  </si>
  <si>
    <t>108/2017</t>
  </si>
  <si>
    <t>109/2017</t>
  </si>
  <si>
    <t>110/2017</t>
  </si>
  <si>
    <t>111/2017</t>
  </si>
  <si>
    <t>5954</t>
  </si>
  <si>
    <t>AQUASERVICE - Consumo y dispensdor mes septiembre</t>
  </si>
  <si>
    <t>Mª ISABEL CAMPILLO GARCIA- Liquidación P.O. 205/2013</t>
  </si>
  <si>
    <t>SERENUR, mensajería mes de septiembre</t>
  </si>
  <si>
    <t>1M128769</t>
  </si>
  <si>
    <t>11199L</t>
  </si>
  <si>
    <t>6529</t>
  </si>
  <si>
    <t>TOTAL OCTUBRE-17</t>
  </si>
  <si>
    <t>IRON MOUNTAIN ESPAÑA, S.A.U. septiembre</t>
  </si>
  <si>
    <t>SAQQARA Informatica S.l. mantenimiento mes de octubre</t>
  </si>
  <si>
    <t>17018905</t>
  </si>
  <si>
    <t>2.017/1.523</t>
  </si>
  <si>
    <t>AQUASERVICE. Consumo y cuota dispensador mes de octubre</t>
  </si>
  <si>
    <t>1M145596</t>
  </si>
  <si>
    <t>IRON MOUNTAIN ESPAÑA, S.A.U. octubre</t>
  </si>
  <si>
    <t>17021052</t>
  </si>
  <si>
    <t>SAQQARA Informatica S.l. mantenimiento mes de noviembre</t>
  </si>
  <si>
    <t>2.017/1.706</t>
  </si>
  <si>
    <t>TOTAL NOVIEMBRE-17</t>
  </si>
  <si>
    <t>113/2017</t>
  </si>
  <si>
    <t>116/2017</t>
  </si>
  <si>
    <t>JOSE LUIS JARABA PEREZ secretaría del Consejo agosto 2017</t>
  </si>
  <si>
    <t>JOSE LUIS JARABA PEREZ asesoramiento Jurídico agosto 2017</t>
  </si>
  <si>
    <t>TOTALDICIEMBRE-17</t>
  </si>
  <si>
    <t>AQUASERVICE mes de noviembre. Dispensador</t>
  </si>
  <si>
    <t>1M162410</t>
  </si>
  <si>
    <t>FH054197</t>
  </si>
  <si>
    <t>COPIAS PRADO</t>
  </si>
  <si>
    <t>ENTIDAD DE CONSERVACIÓN - Octubre, noviembre y diciembre</t>
  </si>
  <si>
    <t>170-17</t>
  </si>
  <si>
    <t>ATLAS FORMA- Presupuesto para el estudio de la evolución histórica de las parcelas propiedad el Municipio de Leganés afectadas por la expropiación del PP2</t>
  </si>
  <si>
    <t>S/025/2017</t>
  </si>
  <si>
    <t>IRON MOUNTAIN - Custodia regular mes de noviembre</t>
  </si>
  <si>
    <t>17022861</t>
  </si>
  <si>
    <t>SERENUR. Mes de noviembre</t>
  </si>
  <si>
    <t>8144</t>
  </si>
  <si>
    <t>AQUASERVICE - consumo diciembre</t>
  </si>
  <si>
    <t>1M177873</t>
  </si>
  <si>
    <t>REGISTRO PROPIEDAD NÚMERO 1 (ANA MARÍA SOLCHAGA LOPEZ)</t>
  </si>
  <si>
    <t>004241/2016</t>
  </si>
  <si>
    <t>SEGURO RESPONSABILIDAD CIVIL AIG EUROPE POLIZA: EA13CP1030</t>
  </si>
  <si>
    <t>0000498272</t>
  </si>
  <si>
    <t>TOTAL ENERO-18</t>
  </si>
  <si>
    <t>ENTIDAD DE CONSERVACIÓN - enero, febrero y marzo</t>
  </si>
  <si>
    <t>OBRAS DE MADRID - segundo semestre 2017</t>
  </si>
  <si>
    <t>016-18</t>
  </si>
  <si>
    <t>CFI-17-00119</t>
  </si>
  <si>
    <t>MES ENERO</t>
  </si>
  <si>
    <t>AÑO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</si>
</sst>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0.00\)"/>
    <numFmt numFmtId="165" formatCode="dd/mm/yy"/>
  </numFmts>
  <fonts count="16"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sz val="11"/>
      <color theme="1"/>
      <name val="Arial Narrow"/>
      <family val="2"/>
    </font>
    <font>
      <sz val="10"/>
      <name val="Arial Narrow"/>
      <family val="2"/>
    </font>
    <font>
      <sz val="8"/>
      <name val="Arial Narrow"/>
      <family val="2"/>
    </font>
    <font>
      <b/>
      <sz val="12"/>
      <color indexed="18"/>
      <name val="Arial Narrow"/>
      <family val="2"/>
    </font>
    <font>
      <b/>
      <sz val="10"/>
      <name val="Arial Narrow"/>
      <family val="2"/>
    </font>
    <font>
      <b/>
      <sz val="10"/>
      <color indexed="10"/>
      <name val="Arial Narrow"/>
      <family val="2"/>
    </font>
    <font>
      <b/>
      <sz val="10"/>
      <color indexed="18"/>
      <name val="Arial Narrow"/>
      <family val="2"/>
    </font>
    <font>
      <sz val="8"/>
      <color theme="1"/>
      <name val="Arial Narrow"/>
      <family val="2"/>
    </font>
    <font>
      <b/>
      <sz val="11"/>
      <name val="Calibri"/>
      <family val="2"/>
      <scheme val="minor"/>
    </font>
    <font>
      <u/>
      <sz val="10"/>
      <color indexed="12"/>
      <name val="Arial"/>
      <family val="2"/>
    </font>
    <font>
      <sz val="10"/>
      <name val="Arial"/>
      <family val="2"/>
    </font>
    <font>
      <sz val="11"/>
      <color theme="1"/>
      <name val="Calibri"/>
      <family val="2"/>
      <scheme val="minor"/>
    </font>
  </fonts>
  <fills count="10">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indexed="22"/>
        <bgColor indexed="64"/>
      </patternFill>
    </fill>
    <fill>
      <patternFill patternType="solid">
        <fgColor rgb="FFFDE9D9"/>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2"/>
      </top>
      <bottom style="medium">
        <color indexed="62"/>
      </bottom>
      <diagonal/>
    </border>
    <border>
      <left/>
      <right/>
      <top style="dashed">
        <color theme="0" tint="-0.499984740745262"/>
      </top>
      <bottom style="dashed">
        <color theme="0" tint="-0.499984740745262"/>
      </bottom>
      <diagonal/>
    </border>
    <border>
      <left/>
      <right/>
      <top style="medium">
        <color indexed="62"/>
      </top>
      <bottom style="dashed">
        <color theme="0" tint="-0.499984740745262"/>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13" fillId="0" borderId="0" applyNumberFormat="0" applyFill="0" applyBorder="0" applyAlignment="0" applyProtection="0">
      <alignment vertical="top"/>
      <protection locked="0"/>
    </xf>
    <xf numFmtId="0" fontId="14" fillId="0" borderId="0"/>
  </cellStyleXfs>
  <cellXfs count="246">
    <xf numFmtId="0" fontId="0" fillId="0" borderId="0" xfId="0"/>
    <xf numFmtId="0" fontId="4" fillId="0" borderId="2" xfId="0" applyFont="1" applyBorder="1"/>
    <xf numFmtId="0" fontId="5" fillId="0" borderId="2" xfId="0" applyFont="1" applyFill="1" applyBorder="1"/>
    <xf numFmtId="4" fontId="6" fillId="0" borderId="2" xfId="0" applyNumberFormat="1" applyFont="1" applyBorder="1" applyAlignment="1">
      <alignment horizontal="right"/>
    </xf>
    <xf numFmtId="0" fontId="4" fillId="0" borderId="0" xfId="0" applyFont="1"/>
    <xf numFmtId="0" fontId="7" fillId="0" borderId="0" xfId="0" applyFont="1" applyAlignment="1">
      <alignment horizontal="centerContinuous" wrapText="1"/>
    </xf>
    <xf numFmtId="0" fontId="4" fillId="0" borderId="0" xfId="0" applyFont="1" applyAlignment="1">
      <alignment horizontal="centerContinuous"/>
    </xf>
    <xf numFmtId="0" fontId="8" fillId="0" borderId="0" xfId="0" applyFont="1"/>
    <xf numFmtId="0" fontId="9" fillId="0" borderId="0" xfId="0" applyFont="1"/>
    <xf numFmtId="0" fontId="4" fillId="0" borderId="0" xfId="0" applyFont="1" applyAlignment="1">
      <alignment horizontal="centerContinuous" wrapText="1"/>
    </xf>
    <xf numFmtId="0" fontId="4" fillId="0" borderId="0" xfId="0" applyFont="1" applyAlignment="1">
      <alignment horizontal="right"/>
    </xf>
    <xf numFmtId="0" fontId="10" fillId="8" borderId="8" xfId="0" applyFont="1" applyFill="1" applyBorder="1" applyAlignment="1">
      <alignment horizontal="center" vertical="center"/>
    </xf>
    <xf numFmtId="4" fontId="10" fillId="8" borderId="8" xfId="0" applyNumberFormat="1" applyFont="1" applyFill="1" applyBorder="1" applyAlignment="1">
      <alignment horizontal="center" vertical="center" wrapText="1"/>
    </xf>
    <xf numFmtId="0" fontId="4" fillId="0" borderId="9" xfId="0" applyFont="1" applyBorder="1" applyAlignment="1">
      <alignment horizontal="left"/>
    </xf>
    <xf numFmtId="164" fontId="5" fillId="0" borderId="10" xfId="0" applyNumberFormat="1" applyFont="1" applyFill="1" applyBorder="1"/>
    <xf numFmtId="14" fontId="3" fillId="0" borderId="0" xfId="0" applyNumberFormat="1" applyFont="1" applyFill="1" applyBorder="1" applyAlignment="1">
      <alignment horizontal="right" vertical="center" wrapText="1"/>
    </xf>
    <xf numFmtId="0" fontId="12" fillId="0" borderId="0" xfId="0" applyFont="1" applyFill="1" applyBorder="1" applyAlignment="1">
      <alignment horizontal="left" vertical="center"/>
    </xf>
    <xf numFmtId="49" fontId="12" fillId="0" borderId="0" xfId="0" applyNumberFormat="1" applyFont="1" applyFill="1" applyBorder="1" applyAlignment="1">
      <alignment horizontal="left" vertical="center" wrapText="1"/>
    </xf>
    <xf numFmtId="4" fontId="12" fillId="0" borderId="0" xfId="0" applyNumberFormat="1" applyFont="1" applyFill="1" applyBorder="1" applyAlignment="1">
      <alignment horizontal="right" vertical="center" wrapText="1"/>
    </xf>
    <xf numFmtId="14" fontId="3" fillId="7" borderId="0" xfId="0" applyNumberFormat="1" applyFont="1" applyFill="1" applyBorder="1" applyAlignment="1">
      <alignment horizontal="right" vertical="center" wrapText="1"/>
    </xf>
    <xf numFmtId="0" fontId="12" fillId="7" borderId="0" xfId="0" applyFont="1" applyFill="1" applyBorder="1" applyAlignment="1">
      <alignment horizontal="left" vertical="center"/>
    </xf>
    <xf numFmtId="49" fontId="12" fillId="7" borderId="0" xfId="0" applyNumberFormat="1" applyFont="1" applyFill="1" applyBorder="1" applyAlignment="1">
      <alignment horizontal="left" vertical="center" wrapText="1"/>
    </xf>
    <xf numFmtId="4" fontId="12" fillId="7" borderId="0" xfId="0" applyNumberFormat="1" applyFont="1" applyFill="1" applyBorder="1" applyAlignment="1">
      <alignment horizontal="right" vertical="center" wrapText="1"/>
    </xf>
    <xf numFmtId="14" fontId="3" fillId="0" borderId="0" xfId="0" applyNumberFormat="1" applyFont="1" applyFill="1" applyBorder="1" applyAlignment="1">
      <alignment vertical="center" wrapText="1"/>
    </xf>
    <xf numFmtId="14" fontId="3" fillId="7" borderId="0" xfId="0" applyNumberFormat="1" applyFont="1" applyFill="1" applyBorder="1" applyAlignment="1">
      <alignment vertical="center" wrapText="1"/>
    </xf>
    <xf numFmtId="0" fontId="12" fillId="0" borderId="0" xfId="0" applyFont="1" applyFill="1" applyBorder="1" applyAlignment="1">
      <alignment horizontal="left" vertical="center" wrapText="1"/>
    </xf>
    <xf numFmtId="0" fontId="1" fillId="0" borderId="0" xfId="0" applyFont="1" applyFill="1" applyBorder="1" applyAlignment="1">
      <alignment horizontal="left" vertical="center"/>
    </xf>
    <xf numFmtId="49" fontId="1" fillId="0" borderId="0" xfId="0" applyNumberFormat="1" applyFont="1" applyFill="1" applyBorder="1" applyAlignment="1">
      <alignment horizontal="left" vertical="center" wrapText="1"/>
    </xf>
    <xf numFmtId="4" fontId="1" fillId="0" borderId="0" xfId="0" applyNumberFormat="1" applyFont="1" applyFill="1" applyBorder="1" applyAlignment="1">
      <alignment horizontal="right" vertical="center" wrapText="1"/>
    </xf>
    <xf numFmtId="0" fontId="0" fillId="0" borderId="0" xfId="0" applyFont="1" applyAlignment="1">
      <alignment horizontal="center" vertical="center"/>
    </xf>
    <xf numFmtId="0" fontId="1" fillId="0" borderId="0" xfId="0" applyFont="1" applyAlignment="1">
      <alignment vertical="center"/>
    </xf>
    <xf numFmtId="0" fontId="0" fillId="0" borderId="0" xfId="0" applyFont="1" applyAlignment="1">
      <alignment vertical="center"/>
    </xf>
    <xf numFmtId="14" fontId="1" fillId="0" borderId="0" xfId="0" applyNumberFormat="1" applyFont="1" applyAlignment="1">
      <alignment vertical="center"/>
    </xf>
    <xf numFmtId="0" fontId="1" fillId="0" borderId="0" xfId="0" applyFont="1" applyAlignment="1">
      <alignment horizontal="left" vertical="center"/>
    </xf>
    <xf numFmtId="4" fontId="1" fillId="0" borderId="0" xfId="0" applyNumberFormat="1" applyFont="1" applyAlignment="1">
      <alignment horizontal="center" vertical="center"/>
    </xf>
    <xf numFmtId="4" fontId="1" fillId="0" borderId="0" xfId="0" applyNumberFormat="1" applyFont="1" applyAlignment="1">
      <alignment horizontal="right" vertical="center"/>
    </xf>
    <xf numFmtId="0" fontId="1" fillId="0" borderId="0" xfId="0" applyFont="1" applyAlignment="1">
      <alignment horizontal="right" vertical="center"/>
    </xf>
    <xf numFmtId="0" fontId="1" fillId="0" borderId="0" xfId="0" applyFont="1" applyBorder="1" applyAlignment="1">
      <alignment horizontal="left" vertical="center"/>
    </xf>
    <xf numFmtId="0" fontId="0" fillId="0" borderId="0" xfId="0" applyFont="1" applyBorder="1" applyAlignment="1">
      <alignment horizontal="center" vertical="center"/>
    </xf>
    <xf numFmtId="4" fontId="1" fillId="0" borderId="0" xfId="0" applyNumberFormat="1" applyFont="1" applyBorder="1" applyAlignment="1">
      <alignment vertical="center"/>
    </xf>
    <xf numFmtId="4" fontId="1" fillId="4" borderId="6" xfId="0" applyNumberFormat="1" applyFont="1" applyFill="1" applyBorder="1" applyAlignment="1">
      <alignment horizontal="center" vertical="center"/>
    </xf>
    <xf numFmtId="4" fontId="1" fillId="4" borderId="7" xfId="0" applyNumberFormat="1" applyFont="1" applyFill="1" applyBorder="1" applyAlignment="1">
      <alignment vertical="center"/>
    </xf>
    <xf numFmtId="0" fontId="1" fillId="0" borderId="2" xfId="0" applyFont="1" applyBorder="1" applyAlignment="1">
      <alignment horizontal="left" vertical="center"/>
    </xf>
    <xf numFmtId="0" fontId="0" fillId="0" borderId="2" xfId="0" applyFont="1" applyBorder="1" applyAlignment="1">
      <alignment horizontal="center" vertical="center"/>
    </xf>
    <xf numFmtId="4" fontId="1" fillId="0" borderId="2" xfId="0" applyNumberFormat="1" applyFont="1" applyBorder="1" applyAlignment="1">
      <alignment vertical="center"/>
    </xf>
    <xf numFmtId="4" fontId="1" fillId="0" borderId="6" xfId="0" applyNumberFormat="1" applyFont="1" applyFill="1" applyBorder="1" applyAlignment="1">
      <alignment horizontal="center" vertical="center"/>
    </xf>
    <xf numFmtId="4" fontId="1" fillId="0" borderId="7" xfId="0" applyNumberFormat="1" applyFont="1" applyFill="1" applyBorder="1" applyAlignment="1">
      <alignment vertical="center"/>
    </xf>
    <xf numFmtId="0" fontId="0" fillId="0" borderId="12" xfId="0" applyFont="1" applyBorder="1" applyAlignment="1">
      <alignment horizontal="center" vertical="center"/>
    </xf>
    <xf numFmtId="4" fontId="1" fillId="0" borderId="12" xfId="0" applyNumberFormat="1" applyFont="1" applyBorder="1" applyAlignment="1">
      <alignment vertical="center"/>
    </xf>
    <xf numFmtId="0" fontId="12" fillId="0" borderId="0" xfId="0" applyFont="1" applyBorder="1" applyAlignment="1">
      <alignment horizontal="center" vertical="center"/>
    </xf>
    <xf numFmtId="14" fontId="3" fillId="0" borderId="0" xfId="0" applyNumberFormat="1" applyFont="1" applyBorder="1" applyAlignment="1">
      <alignment horizontal="right" vertical="center"/>
    </xf>
    <xf numFmtId="14" fontId="3" fillId="0" borderId="0" xfId="0" applyNumberFormat="1" applyFont="1" applyFill="1" applyBorder="1" applyAlignment="1">
      <alignment vertical="center"/>
    </xf>
    <xf numFmtId="14" fontId="3" fillId="0" borderId="4" xfId="0" applyNumberFormat="1" applyFont="1" applyFill="1" applyBorder="1" applyAlignment="1">
      <alignment vertical="center"/>
    </xf>
    <xf numFmtId="4" fontId="0" fillId="4" borderId="7" xfId="0" applyNumberFormat="1" applyFont="1" applyFill="1" applyBorder="1" applyAlignment="1">
      <alignment horizontal="center" vertical="center"/>
    </xf>
    <xf numFmtId="0" fontId="12" fillId="0" borderId="0" xfId="0" applyFont="1" applyBorder="1" applyAlignment="1">
      <alignment horizontal="left" vertical="center"/>
    </xf>
    <xf numFmtId="4" fontId="12" fillId="0" borderId="0" xfId="0" applyNumberFormat="1" applyFont="1" applyBorder="1" applyAlignment="1">
      <alignment horizontal="right" vertical="center"/>
    </xf>
    <xf numFmtId="4" fontId="1" fillId="9" borderId="6" xfId="0" applyNumberFormat="1" applyFont="1" applyFill="1" applyBorder="1" applyAlignment="1">
      <alignment horizontal="center" vertical="center"/>
    </xf>
    <xf numFmtId="0" fontId="0" fillId="7" borderId="0" xfId="0" applyFont="1" applyFill="1" applyAlignment="1">
      <alignment horizontal="center" vertical="center"/>
    </xf>
    <xf numFmtId="0" fontId="12" fillId="7" borderId="0" xfId="0" applyFont="1" applyFill="1" applyBorder="1" applyAlignment="1">
      <alignment horizontal="center" vertical="center"/>
    </xf>
    <xf numFmtId="14" fontId="3" fillId="7" borderId="0" xfId="0" applyNumberFormat="1" applyFont="1" applyFill="1" applyBorder="1" applyAlignment="1">
      <alignment horizontal="right" vertical="center"/>
    </xf>
    <xf numFmtId="14" fontId="3" fillId="7" borderId="0" xfId="0" applyNumberFormat="1" applyFont="1" applyFill="1" applyBorder="1" applyAlignment="1">
      <alignment vertical="center"/>
    </xf>
    <xf numFmtId="14" fontId="3" fillId="7" borderId="4" xfId="0" applyNumberFormat="1" applyFont="1" applyFill="1" applyBorder="1" applyAlignment="1">
      <alignment vertical="center"/>
    </xf>
    <xf numFmtId="4" fontId="1" fillId="9" borderId="7" xfId="0" applyNumberFormat="1" applyFont="1" applyFill="1" applyBorder="1" applyAlignment="1">
      <alignment vertical="center"/>
    </xf>
    <xf numFmtId="4" fontId="0" fillId="9" borderId="7" xfId="0" applyNumberFormat="1" applyFont="1" applyFill="1" applyBorder="1" applyAlignment="1">
      <alignment horizontal="center" vertical="center"/>
    </xf>
    <xf numFmtId="0" fontId="1" fillId="0" borderId="0" xfId="0" applyFont="1" applyAlignment="1">
      <alignment horizontal="center" vertical="center"/>
    </xf>
    <xf numFmtId="17" fontId="1" fillId="0" borderId="0" xfId="0" applyNumberFormat="1" applyFont="1" applyBorder="1" applyAlignment="1">
      <alignment horizontal="left" vertical="center"/>
    </xf>
    <xf numFmtId="0" fontId="1" fillId="0" borderId="0" xfId="0" applyFont="1" applyBorder="1" applyAlignment="1">
      <alignment horizontal="center" vertical="center"/>
    </xf>
    <xf numFmtId="4" fontId="12" fillId="0" borderId="0" xfId="0" applyNumberFormat="1" applyFont="1" applyFill="1" applyBorder="1" applyAlignment="1">
      <alignment vertical="center"/>
    </xf>
    <xf numFmtId="0" fontId="1" fillId="7" borderId="0" xfId="0" applyFont="1" applyFill="1" applyAlignment="1">
      <alignment horizontal="center" vertical="center"/>
    </xf>
    <xf numFmtId="4" fontId="1" fillId="0" borderId="0" xfId="0" applyNumberFormat="1" applyFont="1" applyBorder="1" applyAlignment="1">
      <alignment horizontal="right" vertical="center"/>
    </xf>
    <xf numFmtId="0" fontId="0" fillId="7" borderId="0" xfId="0" applyFont="1" applyFill="1" applyAlignment="1">
      <alignment vertical="center"/>
    </xf>
    <xf numFmtId="49" fontId="12" fillId="0" borderId="0" xfId="0" applyNumberFormat="1" applyFont="1" applyBorder="1" applyAlignment="1">
      <alignment horizontal="left" vertical="center"/>
    </xf>
    <xf numFmtId="0" fontId="12" fillId="0" borderId="0" xfId="0" applyFont="1" applyBorder="1" applyAlignment="1">
      <alignment horizontal="right" vertical="center"/>
    </xf>
    <xf numFmtId="14" fontId="0" fillId="0" borderId="0" xfId="0" applyNumberFormat="1" applyFont="1" applyAlignment="1">
      <alignment vertical="center"/>
    </xf>
    <xf numFmtId="49" fontId="12" fillId="7" borderId="0" xfId="0" applyNumberFormat="1" applyFont="1" applyFill="1" applyBorder="1" applyAlignment="1">
      <alignment horizontal="left" vertical="center"/>
    </xf>
    <xf numFmtId="0" fontId="1" fillId="7" borderId="0" xfId="0" applyFont="1" applyFill="1" applyBorder="1" applyAlignment="1">
      <alignment horizontal="left" vertical="center"/>
    </xf>
    <xf numFmtId="49" fontId="1" fillId="7" borderId="0" xfId="0" applyNumberFormat="1" applyFont="1" applyFill="1" applyBorder="1" applyAlignment="1">
      <alignment horizontal="left" vertical="center"/>
    </xf>
    <xf numFmtId="4" fontId="1" fillId="7" borderId="0" xfId="0" applyNumberFormat="1" applyFont="1" applyFill="1" applyBorder="1" applyAlignment="1">
      <alignment horizontal="right" vertical="center"/>
    </xf>
    <xf numFmtId="14" fontId="0" fillId="7" borderId="0" xfId="0" applyNumberFormat="1" applyFont="1" applyFill="1" applyBorder="1" applyAlignment="1">
      <alignment horizontal="left" vertical="center"/>
    </xf>
    <xf numFmtId="14" fontId="0" fillId="0" borderId="0" xfId="0" applyNumberFormat="1" applyFont="1" applyFill="1" applyBorder="1" applyAlignment="1">
      <alignment vertical="center"/>
    </xf>
    <xf numFmtId="49" fontId="1" fillId="0" borderId="0" xfId="0" applyNumberFormat="1" applyFont="1" applyBorder="1" applyAlignment="1">
      <alignment horizontal="left" vertical="center"/>
    </xf>
    <xf numFmtId="0" fontId="1" fillId="0" borderId="1" xfId="0" applyFont="1" applyBorder="1" applyAlignment="1">
      <alignment horizontal="left" vertical="center"/>
    </xf>
    <xf numFmtId="4" fontId="12" fillId="7" borderId="0" xfId="0" applyNumberFormat="1" applyFont="1" applyFill="1" applyBorder="1" applyAlignment="1">
      <alignment horizontal="right" vertical="center"/>
    </xf>
    <xf numFmtId="14" fontId="3" fillId="7" borderId="0" xfId="0" applyNumberFormat="1" applyFont="1" applyFill="1" applyBorder="1" applyAlignment="1">
      <alignment horizontal="left" vertical="center"/>
    </xf>
    <xf numFmtId="14" fontId="3" fillId="0" borderId="0" xfId="0" applyNumberFormat="1" applyFont="1" applyFill="1" applyBorder="1" applyAlignment="1">
      <alignment horizontal="left" vertical="center"/>
    </xf>
    <xf numFmtId="0" fontId="1" fillId="0" borderId="0" xfId="0" applyFont="1" applyBorder="1" applyAlignment="1">
      <alignment vertical="center"/>
    </xf>
    <xf numFmtId="0" fontId="1" fillId="7" borderId="0" xfId="0" applyFont="1" applyFill="1" applyBorder="1" applyAlignment="1">
      <alignment vertical="center"/>
    </xf>
    <xf numFmtId="0" fontId="12" fillId="7" borderId="0" xfId="0" applyFont="1" applyFill="1" applyBorder="1" applyAlignment="1">
      <alignment vertical="center"/>
    </xf>
    <xf numFmtId="0" fontId="12" fillId="7" borderId="0" xfId="0" applyFont="1" applyFill="1" applyBorder="1" applyAlignment="1">
      <alignment vertical="center" wrapText="1"/>
    </xf>
    <xf numFmtId="14" fontId="0" fillId="0" borderId="0" xfId="0" applyNumberFormat="1" applyFont="1" applyBorder="1" applyAlignment="1">
      <alignment vertical="center"/>
    </xf>
    <xf numFmtId="4" fontId="1" fillId="3" borderId="7" xfId="0" applyNumberFormat="1" applyFont="1" applyFill="1" applyBorder="1" applyAlignment="1">
      <alignment horizontal="right" vertical="center"/>
    </xf>
    <xf numFmtId="4" fontId="1" fillId="3" borderId="7" xfId="0" applyNumberFormat="1" applyFont="1" applyFill="1" applyBorder="1" applyAlignment="1">
      <alignment horizontal="center" vertical="center"/>
    </xf>
    <xf numFmtId="0" fontId="1" fillId="3" borderId="7" xfId="0" applyFont="1" applyFill="1" applyBorder="1" applyAlignment="1">
      <alignment horizontal="center" vertical="center"/>
    </xf>
    <xf numFmtId="4" fontId="1" fillId="0" borderId="0" xfId="0" applyNumberFormat="1" applyFont="1" applyBorder="1" applyAlignment="1">
      <alignment horizontal="center" vertical="center"/>
    </xf>
    <xf numFmtId="4" fontId="1" fillId="0" borderId="0" xfId="0" applyNumberFormat="1" applyFont="1" applyFill="1" applyBorder="1" applyAlignment="1">
      <alignment vertical="center"/>
    </xf>
    <xf numFmtId="4" fontId="1" fillId="3" borderId="5" xfId="0" applyNumberFormat="1" applyFont="1" applyFill="1" applyBorder="1" applyAlignment="1">
      <alignment horizontal="center" vertical="center"/>
    </xf>
    <xf numFmtId="4"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0" fillId="4" borderId="2" xfId="0" applyFont="1" applyFill="1" applyBorder="1" applyAlignment="1">
      <alignment horizontal="center" vertical="center"/>
    </xf>
    <xf numFmtId="4" fontId="1" fillId="4" borderId="2" xfId="0" applyNumberFormat="1" applyFont="1" applyFill="1" applyBorder="1" applyAlignment="1">
      <alignment horizontal="center" vertical="center"/>
    </xf>
    <xf numFmtId="4" fontId="1" fillId="3" borderId="5" xfId="0" applyNumberFormat="1" applyFont="1" applyFill="1" applyBorder="1" applyAlignment="1">
      <alignment horizontal="right" vertical="center"/>
    </xf>
    <xf numFmtId="0" fontId="1" fillId="3" borderId="5" xfId="0" applyFont="1" applyFill="1" applyBorder="1" applyAlignment="1">
      <alignment horizontal="center" vertical="center"/>
    </xf>
    <xf numFmtId="4" fontId="1" fillId="0" borderId="0" xfId="0" applyNumberFormat="1" applyFont="1" applyAlignment="1">
      <alignment vertical="center"/>
    </xf>
    <xf numFmtId="0" fontId="1" fillId="5" borderId="1" xfId="0" applyFont="1" applyFill="1" applyBorder="1" applyAlignment="1">
      <alignment horizontal="right" vertical="center"/>
    </xf>
    <xf numFmtId="14" fontId="1" fillId="5" borderId="3" xfId="0" applyNumberFormat="1" applyFont="1" applyFill="1" applyBorder="1" applyAlignment="1">
      <alignment horizontal="left" vertical="center"/>
    </xf>
    <xf numFmtId="4" fontId="1" fillId="4" borderId="5" xfId="0" applyNumberFormat="1" applyFont="1" applyFill="1" applyBorder="1" applyAlignment="1">
      <alignment vertical="center"/>
    </xf>
    <xf numFmtId="0" fontId="1" fillId="3" borderId="1" xfId="0" applyFont="1" applyFill="1" applyBorder="1" applyAlignment="1">
      <alignment vertical="center"/>
    </xf>
    <xf numFmtId="0" fontId="1" fillId="3" borderId="2" xfId="0" applyFont="1" applyFill="1" applyBorder="1" applyAlignment="1">
      <alignment vertical="center"/>
    </xf>
    <xf numFmtId="0" fontId="0" fillId="3" borderId="2" xfId="0" applyFont="1" applyFill="1" applyBorder="1" applyAlignment="1">
      <alignment vertical="center"/>
    </xf>
    <xf numFmtId="4" fontId="1" fillId="3" borderId="2" xfId="0" applyNumberFormat="1" applyFont="1" applyFill="1" applyBorder="1" applyAlignment="1">
      <alignment vertical="center"/>
    </xf>
    <xf numFmtId="4" fontId="1" fillId="6" borderId="3"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14" fontId="1" fillId="3" borderId="2" xfId="0" applyNumberFormat="1" applyFont="1" applyFill="1" applyBorder="1" applyAlignment="1">
      <alignment horizontal="left" vertical="center"/>
    </xf>
    <xf numFmtId="17" fontId="1" fillId="0" borderId="1" xfId="0" applyNumberFormat="1" applyFont="1" applyBorder="1" applyAlignment="1">
      <alignment horizontal="left" vertical="center"/>
    </xf>
    <xf numFmtId="14" fontId="0" fillId="0" borderId="3" xfId="0" applyNumberFormat="1" applyFont="1" applyFill="1" applyBorder="1" applyAlignment="1">
      <alignment vertical="center"/>
    </xf>
    <xf numFmtId="4" fontId="0" fillId="0" borderId="7" xfId="0" applyNumberFormat="1" applyFont="1" applyFill="1" applyBorder="1" applyAlignment="1">
      <alignment horizontal="center" vertical="center"/>
    </xf>
    <xf numFmtId="0" fontId="0" fillId="0" borderId="0" xfId="0" applyFont="1" applyBorder="1" applyAlignment="1">
      <alignment vertical="center"/>
    </xf>
    <xf numFmtId="0" fontId="12" fillId="7" borderId="0" xfId="1" applyFont="1" applyFill="1" applyBorder="1" applyAlignment="1" applyProtection="1">
      <alignment horizontal="left" vertical="center"/>
    </xf>
    <xf numFmtId="14" fontId="0" fillId="0" borderId="2" xfId="0" applyNumberFormat="1" applyFont="1" applyBorder="1" applyAlignment="1">
      <alignment vertical="center"/>
    </xf>
    <xf numFmtId="0" fontId="0" fillId="0" borderId="2" xfId="0" applyFont="1" applyBorder="1" applyAlignment="1">
      <alignment vertical="center"/>
    </xf>
    <xf numFmtId="14" fontId="0" fillId="0" borderId="2" xfId="0" applyNumberFormat="1" applyFont="1" applyFill="1" applyBorder="1" applyAlignment="1">
      <alignment vertical="center"/>
    </xf>
    <xf numFmtId="4" fontId="0" fillId="0" borderId="0" xfId="0" applyNumberFormat="1" applyFont="1" applyAlignment="1">
      <alignment horizontal="center" vertical="center"/>
    </xf>
    <xf numFmtId="4" fontId="0" fillId="0" borderId="0" xfId="0" applyNumberFormat="1" applyFont="1" applyAlignment="1">
      <alignment vertical="center"/>
    </xf>
    <xf numFmtId="14" fontId="0" fillId="0" borderId="12" xfId="0" applyNumberFormat="1" applyFont="1" applyBorder="1" applyAlignment="1">
      <alignment vertical="center"/>
    </xf>
    <xf numFmtId="0" fontId="0" fillId="0" borderId="12" xfId="0" applyFont="1" applyBorder="1" applyAlignment="1">
      <alignment vertical="center"/>
    </xf>
    <xf numFmtId="14" fontId="0" fillId="0" borderId="12" xfId="0" applyNumberFormat="1" applyFont="1" applyFill="1" applyBorder="1" applyAlignment="1">
      <alignment vertical="center"/>
    </xf>
    <xf numFmtId="14" fontId="0" fillId="0" borderId="13" xfId="0" applyNumberFormat="1" applyFont="1" applyFill="1" applyBorder="1" applyAlignment="1">
      <alignment vertical="center"/>
    </xf>
    <xf numFmtId="4" fontId="0" fillId="3" borderId="1" xfId="0" applyNumberFormat="1" applyFont="1" applyFill="1" applyBorder="1" applyAlignment="1">
      <alignment horizontal="center" vertical="center"/>
    </xf>
    <xf numFmtId="14" fontId="0" fillId="0" borderId="13" xfId="0" applyNumberFormat="1" applyFont="1" applyBorder="1" applyAlignment="1">
      <alignment vertical="center"/>
    </xf>
    <xf numFmtId="4" fontId="0" fillId="4" borderId="14" xfId="0" applyNumberFormat="1" applyFont="1" applyFill="1" applyBorder="1" applyAlignment="1">
      <alignment horizontal="center" vertical="center"/>
    </xf>
    <xf numFmtId="4" fontId="0" fillId="4" borderId="14" xfId="0" applyNumberFormat="1" applyFont="1" applyFill="1" applyBorder="1" applyAlignment="1">
      <alignment vertical="center"/>
    </xf>
    <xf numFmtId="14" fontId="0" fillId="0" borderId="4" xfId="0" applyNumberFormat="1" applyFont="1" applyBorder="1" applyAlignment="1">
      <alignment vertical="center"/>
    </xf>
    <xf numFmtId="4" fontId="0" fillId="4" borderId="5" xfId="0" applyNumberFormat="1" applyFont="1" applyFill="1" applyBorder="1" applyAlignment="1">
      <alignment vertical="center"/>
    </xf>
    <xf numFmtId="4" fontId="0" fillId="3" borderId="6" xfId="0" applyNumberFormat="1" applyFont="1" applyFill="1" applyBorder="1" applyAlignment="1">
      <alignment horizontal="center" vertical="center"/>
    </xf>
    <xf numFmtId="0" fontId="3" fillId="2" borderId="0" xfId="0" applyFont="1" applyFill="1" applyAlignment="1">
      <alignment horizontal="center" vertical="center" wrapText="1"/>
    </xf>
    <xf numFmtId="0" fontId="12" fillId="2" borderId="0" xfId="0" applyFont="1" applyFill="1" applyAlignment="1">
      <alignment horizontal="center" vertical="center" wrapText="1"/>
    </xf>
    <xf numFmtId="4" fontId="12" fillId="2" borderId="0" xfId="0" applyNumberFormat="1" applyFont="1" applyFill="1" applyAlignment="1">
      <alignment horizontal="center" vertical="center" wrapText="1"/>
    </xf>
    <xf numFmtId="0" fontId="12" fillId="6" borderId="4" xfId="0" applyFont="1" applyFill="1" applyBorder="1" applyAlignment="1">
      <alignment horizontal="center" vertical="center" wrapText="1"/>
    </xf>
    <xf numFmtId="0" fontId="1" fillId="4" borderId="1" xfId="0" applyFont="1" applyFill="1" applyBorder="1" applyAlignment="1">
      <alignment horizontal="right" vertical="center"/>
    </xf>
    <xf numFmtId="14" fontId="1" fillId="4" borderId="2" xfId="0" applyNumberFormat="1" applyFont="1" applyFill="1" applyBorder="1" applyAlignment="1">
      <alignment vertical="center"/>
    </xf>
    <xf numFmtId="4" fontId="1" fillId="4" borderId="2" xfId="0" applyNumberFormat="1" applyFont="1" applyFill="1" applyBorder="1" applyAlignment="1">
      <alignment vertical="center"/>
    </xf>
    <xf numFmtId="0" fontId="1" fillId="4" borderId="2" xfId="0" applyFont="1" applyFill="1" applyBorder="1" applyAlignment="1">
      <alignment vertical="center"/>
    </xf>
    <xf numFmtId="4" fontId="1" fillId="4" borderId="3" xfId="0" applyNumberFormat="1" applyFont="1" applyFill="1" applyBorder="1" applyAlignment="1">
      <alignment vertical="center"/>
    </xf>
    <xf numFmtId="4" fontId="1" fillId="3" borderId="1" xfId="0" applyNumberFormat="1" applyFont="1" applyFill="1" applyBorder="1" applyAlignment="1">
      <alignment vertical="center"/>
    </xf>
    <xf numFmtId="4" fontId="1" fillId="3" borderId="3" xfId="0" applyNumberFormat="1" applyFont="1" applyFill="1" applyBorder="1" applyAlignment="1">
      <alignment vertical="center"/>
    </xf>
    <xf numFmtId="0" fontId="3" fillId="7" borderId="12" xfId="0" applyFont="1" applyFill="1" applyBorder="1" applyAlignment="1">
      <alignment horizontal="center" vertical="center" wrapText="1"/>
    </xf>
    <xf numFmtId="0" fontId="3" fillId="0" borderId="12" xfId="0" applyFont="1" applyBorder="1"/>
    <xf numFmtId="0" fontId="12" fillId="0" borderId="12" xfId="0" applyFont="1" applyFill="1" applyBorder="1" applyAlignment="1">
      <alignment horizontal="center" vertical="center" wrapText="1"/>
    </xf>
    <xf numFmtId="4" fontId="3" fillId="0" borderId="12" xfId="0" applyNumberFormat="1" applyFont="1" applyBorder="1" applyAlignment="1">
      <alignment horizontal="right"/>
    </xf>
    <xf numFmtId="0" fontId="3" fillId="7" borderId="0" xfId="0" applyFont="1" applyFill="1" applyBorder="1" applyAlignment="1">
      <alignment horizontal="center" vertical="center" wrapText="1"/>
    </xf>
    <xf numFmtId="0" fontId="3" fillId="0" borderId="0" xfId="0" applyFont="1" applyBorder="1"/>
    <xf numFmtId="0" fontId="12" fillId="0" borderId="0" xfId="0" applyFont="1" applyFill="1" applyBorder="1" applyAlignment="1">
      <alignment horizontal="center" vertical="center" wrapText="1"/>
    </xf>
    <xf numFmtId="4" fontId="3" fillId="0" borderId="0" xfId="0" applyNumberFormat="1" applyFont="1" applyBorder="1" applyAlignment="1">
      <alignment horizontal="right"/>
    </xf>
    <xf numFmtId="14" fontId="1" fillId="4" borderId="2" xfId="0" applyNumberFormat="1" applyFont="1" applyFill="1" applyBorder="1" applyAlignment="1">
      <alignment horizontal="left" vertical="center"/>
    </xf>
    <xf numFmtId="0" fontId="0" fillId="4" borderId="2" xfId="0" applyFont="1" applyFill="1" applyBorder="1" applyAlignment="1">
      <alignment vertical="center"/>
    </xf>
    <xf numFmtId="0" fontId="1" fillId="4" borderId="3" xfId="0" applyFont="1" applyFill="1" applyBorder="1" applyAlignment="1">
      <alignment vertical="center"/>
    </xf>
    <xf numFmtId="4" fontId="1" fillId="4" borderId="5" xfId="0" applyNumberFormat="1" applyFont="1" applyFill="1" applyBorder="1" applyAlignment="1">
      <alignment horizontal="center" vertical="center"/>
    </xf>
    <xf numFmtId="0" fontId="0" fillId="0" borderId="0" xfId="0" applyFont="1" applyAlignment="1">
      <alignment horizontal="right" vertical="center"/>
    </xf>
    <xf numFmtId="0" fontId="12" fillId="2" borderId="0" xfId="0" applyFont="1" applyFill="1" applyAlignment="1">
      <alignment horizontal="right" vertical="center" wrapText="1"/>
    </xf>
    <xf numFmtId="14" fontId="0" fillId="0" borderId="0" xfId="0" applyNumberFormat="1" applyFont="1" applyBorder="1" applyAlignment="1">
      <alignment horizontal="right" vertical="center"/>
    </xf>
    <xf numFmtId="14" fontId="0" fillId="0" borderId="2" xfId="0" applyNumberFormat="1" applyFont="1" applyBorder="1" applyAlignment="1">
      <alignment horizontal="right" vertical="center"/>
    </xf>
    <xf numFmtId="14" fontId="0" fillId="0" borderId="12" xfId="0" applyNumberFormat="1" applyFont="1" applyBorder="1" applyAlignment="1">
      <alignment horizontal="right" vertical="center"/>
    </xf>
    <xf numFmtId="14" fontId="0" fillId="7" borderId="0" xfId="0" applyNumberFormat="1" applyFont="1" applyFill="1" applyBorder="1" applyAlignment="1">
      <alignment horizontal="right" vertical="center"/>
    </xf>
    <xf numFmtId="14" fontId="0" fillId="0" borderId="0" xfId="0" applyNumberFormat="1" applyFont="1" applyFill="1" applyBorder="1" applyAlignment="1">
      <alignment horizontal="right" vertical="center" wrapText="1"/>
    </xf>
    <xf numFmtId="0" fontId="0" fillId="0" borderId="0" xfId="0" applyFont="1" applyBorder="1" applyAlignment="1">
      <alignment horizontal="right" vertical="center"/>
    </xf>
    <xf numFmtId="14" fontId="0" fillId="0" borderId="0" xfId="0" applyNumberFormat="1" applyFont="1" applyAlignment="1">
      <alignment horizontal="right" vertical="center"/>
    </xf>
    <xf numFmtId="0" fontId="1" fillId="4" borderId="2" xfId="0" applyFont="1" applyFill="1" applyBorder="1" applyAlignment="1">
      <alignment horizontal="right" vertical="center"/>
    </xf>
    <xf numFmtId="0" fontId="1" fillId="0" borderId="0" xfId="0" applyFont="1" applyBorder="1" applyAlignment="1">
      <alignment horizontal="right" vertical="center"/>
    </xf>
    <xf numFmtId="14" fontId="0" fillId="0" borderId="12" xfId="0" applyNumberFormat="1" applyFont="1" applyBorder="1" applyAlignment="1">
      <alignment horizontal="right"/>
    </xf>
    <xf numFmtId="14" fontId="0" fillId="0" borderId="0" xfId="0" applyNumberFormat="1" applyFont="1" applyBorder="1" applyAlignment="1">
      <alignment horizontal="right"/>
    </xf>
    <xf numFmtId="0" fontId="1" fillId="3" borderId="2" xfId="0" applyFont="1" applyFill="1" applyBorder="1" applyAlignment="1">
      <alignment horizontal="right" vertical="center"/>
    </xf>
    <xf numFmtId="0" fontId="0" fillId="0" borderId="11" xfId="0" applyFont="1" applyBorder="1" applyAlignment="1">
      <alignment horizontal="center" vertical="center"/>
    </xf>
    <xf numFmtId="14" fontId="0" fillId="0" borderId="11" xfId="0" applyNumberFormat="1" applyFont="1" applyBorder="1" applyAlignment="1">
      <alignment vertical="center"/>
    </xf>
    <xf numFmtId="4" fontId="1" fillId="9" borderId="11" xfId="0" applyNumberFormat="1" applyFont="1" applyFill="1" applyBorder="1" applyAlignment="1">
      <alignment horizontal="center" vertical="center"/>
    </xf>
    <xf numFmtId="17" fontId="1" fillId="0" borderId="16" xfId="0" applyNumberFormat="1" applyFont="1" applyBorder="1" applyAlignment="1">
      <alignment horizontal="left" vertical="center"/>
    </xf>
    <xf numFmtId="17" fontId="1" fillId="0" borderId="6" xfId="0" applyNumberFormat="1" applyFont="1" applyBorder="1" applyAlignment="1">
      <alignment horizontal="left" vertical="center"/>
    </xf>
    <xf numFmtId="4" fontId="1" fillId="0" borderId="11" xfId="0" applyNumberFormat="1" applyFont="1" applyBorder="1" applyAlignment="1">
      <alignment vertical="center"/>
    </xf>
    <xf numFmtId="14" fontId="0" fillId="0" borderId="11" xfId="0" applyNumberFormat="1" applyFont="1" applyBorder="1" applyAlignment="1">
      <alignment horizontal="right" vertical="center"/>
    </xf>
    <xf numFmtId="0" fontId="0" fillId="0" borderId="11" xfId="0" applyFont="1" applyBorder="1" applyAlignment="1">
      <alignment vertical="center"/>
    </xf>
    <xf numFmtId="14" fontId="0" fillId="0" borderId="11" xfId="0" applyNumberFormat="1" applyFont="1" applyFill="1" applyBorder="1" applyAlignment="1">
      <alignment vertical="center"/>
    </xf>
    <xf numFmtId="14" fontId="0" fillId="0" borderId="15" xfId="0" applyNumberFormat="1" applyFont="1" applyFill="1" applyBorder="1" applyAlignment="1">
      <alignment vertical="center"/>
    </xf>
    <xf numFmtId="0" fontId="12" fillId="7" borderId="12" xfId="0" applyFont="1" applyFill="1" applyBorder="1" applyAlignment="1">
      <alignment horizontal="center" vertical="center"/>
    </xf>
    <xf numFmtId="4" fontId="12" fillId="7" borderId="12" xfId="0" applyNumberFormat="1" applyFont="1" applyFill="1" applyBorder="1" applyAlignment="1">
      <alignment horizontal="right" vertical="center"/>
    </xf>
    <xf numFmtId="14" fontId="3" fillId="7" borderId="12" xfId="0" applyNumberFormat="1" applyFont="1" applyFill="1" applyBorder="1" applyAlignment="1">
      <alignment horizontal="right" vertical="center"/>
    </xf>
    <xf numFmtId="14" fontId="3" fillId="0" borderId="12" xfId="0" applyNumberFormat="1" applyFont="1" applyFill="1" applyBorder="1" applyAlignment="1">
      <alignment vertical="center"/>
    </xf>
    <xf numFmtId="14" fontId="3" fillId="0" borderId="13" xfId="0" applyNumberFormat="1" applyFont="1" applyFill="1" applyBorder="1" applyAlignment="1">
      <alignment vertical="center"/>
    </xf>
    <xf numFmtId="0" fontId="12" fillId="7" borderId="11" xfId="0" applyFont="1" applyFill="1" applyBorder="1" applyAlignment="1">
      <alignment horizontal="center" vertical="center"/>
    </xf>
    <xf numFmtId="14" fontId="3" fillId="7" borderId="11" xfId="0" applyNumberFormat="1" applyFont="1" applyFill="1" applyBorder="1" applyAlignment="1">
      <alignment horizontal="right" vertical="center"/>
    </xf>
    <xf numFmtId="14" fontId="3" fillId="7" borderId="11" xfId="0" applyNumberFormat="1" applyFont="1" applyFill="1" applyBorder="1" applyAlignment="1">
      <alignment vertical="center"/>
    </xf>
    <xf numFmtId="14" fontId="3" fillId="7" borderId="15" xfId="0" applyNumberFormat="1" applyFont="1" applyFill="1" applyBorder="1" applyAlignment="1">
      <alignment vertical="center"/>
    </xf>
    <xf numFmtId="4" fontId="0" fillId="3" borderId="5" xfId="0" applyNumberFormat="1" applyFont="1" applyFill="1" applyBorder="1" applyAlignment="1">
      <alignment horizontal="center" vertical="center"/>
    </xf>
    <xf numFmtId="49" fontId="0" fillId="0" borderId="12" xfId="0" applyNumberFormat="1" applyFont="1" applyBorder="1" applyAlignment="1">
      <alignment horizontal="left"/>
    </xf>
    <xf numFmtId="49" fontId="0" fillId="0" borderId="0" xfId="0" applyNumberFormat="1" applyFont="1" applyBorder="1" applyAlignment="1">
      <alignment horizontal="left"/>
    </xf>
    <xf numFmtId="49" fontId="3" fillId="0" borderId="0" xfId="0" applyNumberFormat="1" applyFont="1" applyBorder="1" applyAlignment="1">
      <alignment horizontal="left"/>
    </xf>
    <xf numFmtId="14" fontId="3" fillId="0" borderId="0" xfId="0" applyNumberFormat="1" applyFont="1" applyFill="1" applyBorder="1" applyAlignment="1">
      <alignment horizontal="right"/>
    </xf>
    <xf numFmtId="165" fontId="3" fillId="0" borderId="0" xfId="0" applyNumberFormat="1" applyFont="1" applyFill="1" applyBorder="1" applyAlignment="1">
      <alignment horizontal="left"/>
    </xf>
    <xf numFmtId="14" fontId="3" fillId="0" borderId="0" xfId="2" applyNumberFormat="1" applyFont="1" applyBorder="1" applyAlignment="1">
      <alignment horizontal="right"/>
    </xf>
    <xf numFmtId="14" fontId="3" fillId="0" borderId="11" xfId="2" applyNumberFormat="1" applyFont="1" applyBorder="1" applyAlignment="1">
      <alignment horizontal="right"/>
    </xf>
    <xf numFmtId="14" fontId="0" fillId="0" borderId="11" xfId="0" applyNumberFormat="1" applyFont="1" applyBorder="1" applyAlignment="1">
      <alignment horizontal="right"/>
    </xf>
    <xf numFmtId="165" fontId="0" fillId="0" borderId="11" xfId="0" applyNumberFormat="1" applyFont="1" applyBorder="1" applyAlignment="1">
      <alignment horizontal="left"/>
    </xf>
    <xf numFmtId="0" fontId="12" fillId="0" borderId="0" xfId="0" applyFont="1" applyFill="1" applyBorder="1"/>
    <xf numFmtId="0" fontId="12" fillId="0" borderId="0" xfId="0" applyFont="1" applyBorder="1" applyAlignment="1">
      <alignment horizontal="left"/>
    </xf>
    <xf numFmtId="4" fontId="12" fillId="0" borderId="0" xfId="0" applyNumberFormat="1" applyFont="1" applyBorder="1" applyAlignment="1">
      <alignment horizontal="right"/>
    </xf>
    <xf numFmtId="0" fontId="12" fillId="0" borderId="0" xfId="0" applyFont="1" applyFill="1" applyBorder="1" applyAlignment="1">
      <alignment horizontal="left"/>
    </xf>
    <xf numFmtId="49" fontId="12" fillId="0" borderId="0" xfId="0" applyNumberFormat="1" applyFont="1" applyFill="1" applyBorder="1" applyAlignment="1">
      <alignment horizontal="left"/>
    </xf>
    <xf numFmtId="4" fontId="12" fillId="0" borderId="0" xfId="0" applyNumberFormat="1" applyFont="1" applyFill="1" applyBorder="1" applyAlignment="1">
      <alignment horizontal="right"/>
    </xf>
    <xf numFmtId="49" fontId="12" fillId="0" borderId="11" xfId="0" applyNumberFormat="1" applyFont="1" applyBorder="1" applyAlignment="1">
      <alignment horizontal="left"/>
    </xf>
    <xf numFmtId="4" fontId="12" fillId="0" borderId="11" xfId="0" applyNumberFormat="1" applyFont="1" applyBorder="1" applyAlignment="1">
      <alignment horizontal="right"/>
    </xf>
    <xf numFmtId="17" fontId="1" fillId="0" borderId="17" xfId="0" applyNumberFormat="1" applyFont="1" applyBorder="1" applyAlignment="1">
      <alignment horizontal="left" vertical="center"/>
    </xf>
    <xf numFmtId="14" fontId="3" fillId="7" borderId="11" xfId="0" applyNumberFormat="1" applyFont="1" applyFill="1" applyBorder="1" applyAlignment="1">
      <alignment horizontal="left" vertical="center"/>
    </xf>
    <xf numFmtId="14" fontId="0" fillId="7" borderId="0" xfId="0" applyNumberFormat="1" applyFont="1" applyFill="1" applyBorder="1" applyAlignment="1">
      <alignment horizontal="right"/>
    </xf>
    <xf numFmtId="14" fontId="3" fillId="0" borderId="12" xfId="0" applyNumberFormat="1" applyFont="1" applyFill="1" applyBorder="1" applyAlignment="1">
      <alignment horizontal="right"/>
    </xf>
    <xf numFmtId="49" fontId="12" fillId="0" borderId="12" xfId="0" applyNumberFormat="1" applyFont="1" applyBorder="1" applyAlignment="1">
      <alignment horizontal="left"/>
    </xf>
    <xf numFmtId="0" fontId="1" fillId="7" borderId="0" xfId="0" applyFont="1" applyFill="1" applyBorder="1"/>
    <xf numFmtId="49" fontId="1" fillId="7" borderId="0" xfId="0" applyNumberFormat="1" applyFont="1" applyFill="1" applyBorder="1" applyAlignment="1">
      <alignment horizontal="left"/>
    </xf>
    <xf numFmtId="0" fontId="12" fillId="7" borderId="0" xfId="0" applyFont="1" applyFill="1" applyBorder="1" applyAlignment="1">
      <alignment horizontal="left"/>
    </xf>
    <xf numFmtId="49" fontId="12" fillId="7" borderId="0" xfId="0" applyNumberFormat="1" applyFont="1" applyFill="1" applyBorder="1" applyAlignment="1">
      <alignment horizontal="left"/>
    </xf>
    <xf numFmtId="0" fontId="12" fillId="0" borderId="0" xfId="2" applyFont="1" applyBorder="1" applyAlignment="1">
      <alignment horizontal="left"/>
    </xf>
    <xf numFmtId="49" fontId="12" fillId="0" borderId="0" xfId="2" applyNumberFormat="1" applyFont="1" applyBorder="1" applyAlignment="1">
      <alignment horizontal="left"/>
    </xf>
    <xf numFmtId="4" fontId="12" fillId="0" borderId="0" xfId="2" applyNumberFormat="1" applyFont="1" applyBorder="1" applyAlignment="1">
      <alignment horizontal="right"/>
    </xf>
    <xf numFmtId="0" fontId="12" fillId="0" borderId="0" xfId="2" applyFont="1" applyBorder="1"/>
    <xf numFmtId="49" fontId="12" fillId="0" borderId="11" xfId="2" applyNumberFormat="1" applyFont="1" applyBorder="1" applyAlignment="1">
      <alignment horizontal="left"/>
    </xf>
    <xf numFmtId="0" fontId="1" fillId="0" borderId="11" xfId="0" applyFont="1" applyBorder="1" applyAlignment="1">
      <alignment horizontal="center" vertical="center"/>
    </xf>
    <xf numFmtId="4" fontId="12" fillId="0" borderId="11" xfId="2" applyNumberFormat="1" applyFont="1" applyBorder="1" applyAlignment="1">
      <alignment horizontal="right"/>
    </xf>
    <xf numFmtId="14" fontId="15" fillId="0" borderId="0" xfId="0" applyNumberFormat="1" applyFont="1" applyBorder="1" applyAlignment="1">
      <alignment vertical="center"/>
    </xf>
    <xf numFmtId="0" fontId="3" fillId="0" borderId="0" xfId="0" applyFont="1" applyBorder="1" applyAlignment="1">
      <alignment horizontal="left"/>
    </xf>
    <xf numFmtId="14" fontId="3" fillId="0" borderId="11" xfId="0" applyNumberFormat="1" applyFont="1" applyFill="1" applyBorder="1" applyAlignment="1">
      <alignment vertical="center"/>
    </xf>
    <xf numFmtId="14" fontId="3" fillId="0" borderId="15" xfId="0" applyNumberFormat="1" applyFont="1" applyFill="1" applyBorder="1" applyAlignment="1">
      <alignment vertical="center"/>
    </xf>
    <xf numFmtId="14" fontId="0" fillId="0" borderId="4" xfId="0" applyNumberFormat="1" applyFont="1" applyFill="1" applyBorder="1" applyAlignment="1">
      <alignment vertical="center"/>
    </xf>
    <xf numFmtId="0" fontId="1" fillId="0" borderId="12" xfId="0" applyFont="1" applyBorder="1" applyAlignment="1">
      <alignment horizontal="center" vertical="center"/>
    </xf>
    <xf numFmtId="4" fontId="12" fillId="0" borderId="12" xfId="0" applyNumberFormat="1" applyFont="1" applyBorder="1" applyAlignment="1">
      <alignment horizontal="right"/>
    </xf>
    <xf numFmtId="49" fontId="12" fillId="0" borderId="0" xfId="0" applyNumberFormat="1" applyFont="1" applyBorder="1" applyAlignment="1">
      <alignment horizontal="left"/>
    </xf>
    <xf numFmtId="0" fontId="0" fillId="7" borderId="0" xfId="0" applyFont="1" applyFill="1" applyBorder="1"/>
    <xf numFmtId="49" fontId="0" fillId="0" borderId="0" xfId="0" applyNumberFormat="1" applyFont="1" applyBorder="1" applyAlignment="1">
      <alignment horizontal="left" vertical="center" wrapText="1"/>
    </xf>
    <xf numFmtId="14" fontId="3" fillId="0" borderId="0" xfId="0" applyNumberFormat="1" applyFont="1" applyBorder="1" applyAlignment="1">
      <alignment vertical="center"/>
    </xf>
    <xf numFmtId="4" fontId="2" fillId="0" borderId="0" xfId="0" applyNumberFormat="1" applyFont="1" applyAlignment="1">
      <alignment horizontal="center" vertical="center"/>
    </xf>
    <xf numFmtId="0" fontId="11" fillId="0" borderId="0" xfId="0" applyFont="1" applyBorder="1" applyAlignment="1">
      <alignment horizontal="left" wrapText="1"/>
    </xf>
    <xf numFmtId="0" fontId="0" fillId="0" borderId="0" xfId="0" applyAlignment="1">
      <alignment horizontal="left" wrapText="1"/>
    </xf>
    <xf numFmtId="0" fontId="7" fillId="0" borderId="0" xfId="0" applyFont="1" applyAlignment="1">
      <alignment horizontal="center" wrapText="1"/>
    </xf>
    <xf numFmtId="0" fontId="1" fillId="0" borderId="0" xfId="0" applyFont="1" applyBorder="1" applyAlignment="1">
      <alignment horizontal="left"/>
    </xf>
    <xf numFmtId="49" fontId="1" fillId="0" borderId="0" xfId="0" applyNumberFormat="1" applyFont="1" applyBorder="1" applyAlignment="1">
      <alignment horizontal="left"/>
    </xf>
    <xf numFmtId="14" fontId="0" fillId="0" borderId="0" xfId="0" applyNumberFormat="1" applyFont="1" applyBorder="1" applyAlignment="1">
      <alignment horizontal="left"/>
    </xf>
    <xf numFmtId="0" fontId="3" fillId="0" borderId="0" xfId="0" applyFont="1" applyFill="1" applyBorder="1" applyAlignment="1">
      <alignment horizontal="left"/>
    </xf>
    <xf numFmtId="0" fontId="3" fillId="0" borderId="11" xfId="0" applyFont="1" applyBorder="1" applyAlignment="1">
      <alignment horizontal="left"/>
    </xf>
    <xf numFmtId="49" fontId="3" fillId="0" borderId="11" xfId="0" applyNumberFormat="1" applyFont="1" applyBorder="1" applyAlignment="1">
      <alignment horizontal="left"/>
    </xf>
    <xf numFmtId="4" fontId="3" fillId="0" borderId="11" xfId="0" applyNumberFormat="1" applyFont="1" applyBorder="1" applyAlignment="1">
      <alignment horizontal="right"/>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3"/>
  <sheetViews>
    <sheetView topLeftCell="A108" zoomScale="75" zoomScaleNormal="75" workbookViewId="0">
      <selection activeCell="K153" sqref="K153"/>
    </sheetView>
  </sheetViews>
  <sheetFormatPr baseColWidth="10" defaultRowHeight="15" x14ac:dyDescent="0.25"/>
  <cols>
    <col min="1" max="1" width="3.42578125" style="29" customWidth="1"/>
    <col min="2" max="2" width="42.7109375" style="31" bestFit="1" customWidth="1"/>
    <col min="3" max="3" width="24.28515625" style="31" customWidth="1"/>
    <col min="4" max="4" width="6.140625" style="31" customWidth="1"/>
    <col min="5" max="5" width="14.140625" style="31" customWidth="1"/>
    <col min="6" max="6" width="17.42578125" style="157" customWidth="1"/>
    <col min="7" max="7" width="11.7109375" style="31" bestFit="1" customWidth="1"/>
    <col min="8" max="8" width="12" style="31" bestFit="1" customWidth="1"/>
    <col min="9" max="10" width="12" style="31" customWidth="1"/>
    <col min="11" max="11" width="18" style="121" customWidth="1"/>
    <col min="12" max="12" width="20.7109375" style="122" customWidth="1"/>
    <col min="13" max="13" width="13" style="122" customWidth="1"/>
    <col min="14" max="14" width="15.42578125" style="122" customWidth="1"/>
    <col min="15" max="15" width="14.42578125" style="31" bestFit="1" customWidth="1"/>
    <col min="16" max="16384" width="11.42578125" style="31"/>
  </cols>
  <sheetData>
    <row r="1" spans="1:15" x14ac:dyDescent="0.25">
      <c r="B1" s="30" t="s">
        <v>10</v>
      </c>
      <c r="O1" s="32">
        <f ca="1">TODAY( )</f>
        <v>43133</v>
      </c>
    </row>
    <row r="2" spans="1:15" x14ac:dyDescent="0.25">
      <c r="B2" s="30"/>
      <c r="L2" s="235" t="s">
        <v>28</v>
      </c>
      <c r="M2" s="235"/>
    </row>
    <row r="3" spans="1:15" x14ac:dyDescent="0.25">
      <c r="B3" s="33" t="s">
        <v>33</v>
      </c>
      <c r="L3" s="34" t="s">
        <v>27</v>
      </c>
      <c r="M3" s="73">
        <v>42767</v>
      </c>
    </row>
    <row r="4" spans="1:15" x14ac:dyDescent="0.25">
      <c r="L4" s="34" t="s">
        <v>9</v>
      </c>
      <c r="M4" s="73">
        <v>43131</v>
      </c>
    </row>
    <row r="5" spans="1:15" x14ac:dyDescent="0.25">
      <c r="L5" s="35"/>
      <c r="M5" s="73"/>
      <c r="O5" s="36" t="s">
        <v>15</v>
      </c>
    </row>
    <row r="6" spans="1:15" s="29" customFormat="1" ht="61.5" customHeight="1" x14ac:dyDescent="0.25">
      <c r="A6" s="134" t="s">
        <v>0</v>
      </c>
      <c r="B6" s="135" t="s">
        <v>23</v>
      </c>
      <c r="C6" s="136" t="s">
        <v>1</v>
      </c>
      <c r="D6" s="135" t="s">
        <v>2</v>
      </c>
      <c r="E6" s="136" t="s">
        <v>13</v>
      </c>
      <c r="F6" s="158" t="s">
        <v>24</v>
      </c>
      <c r="G6" s="135" t="s">
        <v>3</v>
      </c>
      <c r="H6" s="135" t="s">
        <v>4</v>
      </c>
      <c r="I6" s="137" t="s">
        <v>34</v>
      </c>
      <c r="J6" s="137" t="s">
        <v>35</v>
      </c>
      <c r="K6" s="136" t="s">
        <v>37</v>
      </c>
      <c r="L6" s="136" t="s">
        <v>36</v>
      </c>
      <c r="M6" s="136" t="s">
        <v>5</v>
      </c>
      <c r="N6" s="136" t="s">
        <v>16</v>
      </c>
      <c r="O6" s="135" t="s">
        <v>17</v>
      </c>
    </row>
    <row r="7" spans="1:15" x14ac:dyDescent="0.25">
      <c r="A7" s="29">
        <v>1</v>
      </c>
      <c r="B7" s="16" t="s">
        <v>53</v>
      </c>
      <c r="C7" s="17" t="s">
        <v>48</v>
      </c>
      <c r="D7" s="49"/>
      <c r="E7" s="18">
        <v>36.479999999999997</v>
      </c>
      <c r="F7" s="15">
        <v>42772</v>
      </c>
      <c r="G7" s="50"/>
      <c r="H7" s="15">
        <v>42767</v>
      </c>
      <c r="I7" s="51">
        <f t="shared" ref="I7:I11" si="0">IF(G7&lt;&gt;0,G7+30,F7+30)</f>
        <v>42802</v>
      </c>
      <c r="J7" s="52">
        <f t="shared" ref="J7:J11" si="1">+I7+30</f>
        <v>42832</v>
      </c>
      <c r="K7" s="40">
        <f t="shared" ref="K7:K11" si="2">IF((H7-I7)&lt;-30,-30,(H7-I7))</f>
        <v>-30</v>
      </c>
      <c r="L7" s="41">
        <f t="shared" ref="L7:L11" si="3">ROUND(E7*K7,2)</f>
        <v>-1094.4000000000001</v>
      </c>
      <c r="M7" s="53" t="str">
        <f t="shared" ref="M7:M11" si="4">IF(K7&lt;=30,"S","N")</f>
        <v>S</v>
      </c>
      <c r="N7" s="41">
        <f t="shared" ref="N7:N11" si="5">IF(K7&lt;=30,E7," ")</f>
        <v>36.479999999999997</v>
      </c>
      <c r="O7" s="41" t="str">
        <f t="shared" ref="O7:O11" si="6">IF(K7&gt;30,E7," ")</f>
        <v xml:space="preserve"> </v>
      </c>
    </row>
    <row r="8" spans="1:15" x14ac:dyDescent="0.25">
      <c r="A8" s="29">
        <v>2</v>
      </c>
      <c r="B8" s="16" t="s">
        <v>54</v>
      </c>
      <c r="C8" s="17" t="s">
        <v>56</v>
      </c>
      <c r="D8" s="49"/>
      <c r="E8" s="18">
        <v>18.510000000000002</v>
      </c>
      <c r="F8" s="15">
        <v>42772</v>
      </c>
      <c r="G8" s="50"/>
      <c r="H8" s="15">
        <v>42773</v>
      </c>
      <c r="I8" s="51">
        <f t="shared" si="0"/>
        <v>42802</v>
      </c>
      <c r="J8" s="52">
        <f t="shared" si="1"/>
        <v>42832</v>
      </c>
      <c r="K8" s="40">
        <f t="shared" si="2"/>
        <v>-29</v>
      </c>
      <c r="L8" s="41">
        <f t="shared" si="3"/>
        <v>-536.79</v>
      </c>
      <c r="M8" s="53" t="str">
        <f t="shared" si="4"/>
        <v>S</v>
      </c>
      <c r="N8" s="41">
        <f t="shared" si="5"/>
        <v>18.510000000000002</v>
      </c>
      <c r="O8" s="41" t="str">
        <f t="shared" si="6"/>
        <v xml:space="preserve"> </v>
      </c>
    </row>
    <row r="9" spans="1:15" x14ac:dyDescent="0.25">
      <c r="A9" s="29">
        <v>5</v>
      </c>
      <c r="B9" s="54" t="s">
        <v>57</v>
      </c>
      <c r="C9" s="54" t="s">
        <v>58</v>
      </c>
      <c r="D9" s="49"/>
      <c r="E9" s="55">
        <v>2181.8000000000002</v>
      </c>
      <c r="F9" s="50">
        <v>42774</v>
      </c>
      <c r="G9" s="50"/>
      <c r="H9" s="50">
        <v>42777</v>
      </c>
      <c r="I9" s="51">
        <f>IF(G9&lt;&gt;0,G9+30,F9+30)</f>
        <v>42804</v>
      </c>
      <c r="J9" s="52">
        <f>+I9+30</f>
        <v>42834</v>
      </c>
      <c r="K9" s="56">
        <f>IF((H9-I9)&lt;-30,-30,(H9-I9))</f>
        <v>-27</v>
      </c>
      <c r="L9" s="41">
        <f>ROUND(E9*K9,2)</f>
        <v>-58908.6</v>
      </c>
      <c r="M9" s="53" t="str">
        <f>IF(K9&lt;=30,"S","N")</f>
        <v>S</v>
      </c>
      <c r="N9" s="41">
        <f>IF(K9&lt;=30,E9," ")</f>
        <v>2181.8000000000002</v>
      </c>
      <c r="O9" s="41" t="str">
        <f>IF(K9&gt;30,E9," ")</f>
        <v xml:space="preserve"> </v>
      </c>
    </row>
    <row r="10" spans="1:15" s="70" customFormat="1" x14ac:dyDescent="0.25">
      <c r="A10" s="57">
        <v>3</v>
      </c>
      <c r="B10" s="20" t="s">
        <v>55</v>
      </c>
      <c r="C10" s="21" t="s">
        <v>75</v>
      </c>
      <c r="D10" s="58"/>
      <c r="E10" s="22">
        <v>278.55</v>
      </c>
      <c r="F10" s="19">
        <v>42794</v>
      </c>
      <c r="G10" s="59"/>
      <c r="H10" s="19">
        <v>42793</v>
      </c>
      <c r="I10" s="60">
        <f t="shared" si="0"/>
        <v>42824</v>
      </c>
      <c r="J10" s="61">
        <f t="shared" si="1"/>
        <v>42854</v>
      </c>
      <c r="K10" s="56">
        <f t="shared" si="2"/>
        <v>-30</v>
      </c>
      <c r="L10" s="62">
        <f t="shared" si="3"/>
        <v>-8356.5</v>
      </c>
      <c r="M10" s="63" t="str">
        <f t="shared" si="4"/>
        <v>S</v>
      </c>
      <c r="N10" s="62">
        <f t="shared" si="5"/>
        <v>278.55</v>
      </c>
      <c r="O10" s="62" t="str">
        <f t="shared" si="6"/>
        <v xml:space="preserve"> </v>
      </c>
    </row>
    <row r="11" spans="1:15" s="70" customFormat="1" x14ac:dyDescent="0.25">
      <c r="A11" s="57">
        <v>4</v>
      </c>
      <c r="B11" s="20" t="s">
        <v>55</v>
      </c>
      <c r="C11" s="21" t="s">
        <v>76</v>
      </c>
      <c r="D11" s="58"/>
      <c r="E11" s="22">
        <v>58.72</v>
      </c>
      <c r="F11" s="19">
        <v>42794</v>
      </c>
      <c r="G11" s="59"/>
      <c r="H11" s="19">
        <v>42793</v>
      </c>
      <c r="I11" s="60">
        <f t="shared" si="0"/>
        <v>42824</v>
      </c>
      <c r="J11" s="61">
        <f t="shared" si="1"/>
        <v>42854</v>
      </c>
      <c r="K11" s="56">
        <f t="shared" si="2"/>
        <v>-30</v>
      </c>
      <c r="L11" s="62">
        <f t="shared" si="3"/>
        <v>-1761.6</v>
      </c>
      <c r="M11" s="63" t="str">
        <f t="shared" si="4"/>
        <v>S</v>
      </c>
      <c r="N11" s="62">
        <f t="shared" si="5"/>
        <v>58.72</v>
      </c>
      <c r="O11" s="62" t="str">
        <f t="shared" si="6"/>
        <v xml:space="preserve"> </v>
      </c>
    </row>
    <row r="12" spans="1:15" x14ac:dyDescent="0.25">
      <c r="B12" s="25"/>
      <c r="C12" s="42" t="s">
        <v>52</v>
      </c>
      <c r="D12" s="43"/>
      <c r="E12" s="44">
        <f>SUM(E7:E11)</f>
        <v>2574.06</v>
      </c>
      <c r="F12" s="160"/>
      <c r="G12" s="119"/>
      <c r="H12" s="118"/>
      <c r="I12" s="120"/>
      <c r="J12" s="114"/>
      <c r="K12" s="45">
        <f>SUM(K7:K11)</f>
        <v>-146</v>
      </c>
      <c r="L12" s="46">
        <f>SUM(L7:L11)</f>
        <v>-70657.890000000014</v>
      </c>
      <c r="M12" s="115"/>
      <c r="N12" s="46">
        <f>SUM(N7:N11)</f>
        <v>2574.06</v>
      </c>
      <c r="O12" s="46">
        <f>SUM(O7:O11)</f>
        <v>0</v>
      </c>
    </row>
    <row r="13" spans="1:15" x14ac:dyDescent="0.25">
      <c r="A13" s="64">
        <v>1</v>
      </c>
      <c r="B13" s="25" t="s">
        <v>50</v>
      </c>
      <c r="C13" s="65" t="s">
        <v>51</v>
      </c>
      <c r="D13" s="66"/>
      <c r="E13" s="67">
        <v>54.27</v>
      </c>
      <c r="F13" s="162">
        <v>42747</v>
      </c>
      <c r="G13" s="50"/>
      <c r="H13" s="23">
        <v>42795</v>
      </c>
      <c r="I13" s="51">
        <f t="shared" ref="I13:I14" si="7">IF(G13&lt;&gt;0,G13+30,F13+30)</f>
        <v>42777</v>
      </c>
      <c r="J13" s="52">
        <f t="shared" ref="J13:J14" si="8">+I13+30</f>
        <v>42807</v>
      </c>
      <c r="K13" s="40">
        <f t="shared" ref="K13:K14" si="9">IF((H13-I13)&lt;-30,-30,(H13-I13))</f>
        <v>18</v>
      </c>
      <c r="L13" s="41">
        <f t="shared" ref="L13:L14" si="10">ROUND(E13*K13,2)</f>
        <v>976.86</v>
      </c>
      <c r="M13" s="53" t="str">
        <f t="shared" ref="M13:M14" si="11">IF(K13&lt;=30,"S","N")</f>
        <v>S</v>
      </c>
      <c r="N13" s="41">
        <f t="shared" ref="N13:N14" si="12">IF(K13&lt;=30,E13," ")</f>
        <v>54.27</v>
      </c>
      <c r="O13" s="41" t="str">
        <f t="shared" ref="O13:O14" si="13">IF(K13&gt;30,E13," ")</f>
        <v xml:space="preserve"> </v>
      </c>
    </row>
    <row r="14" spans="1:15" x14ac:dyDescent="0.25">
      <c r="A14" s="64">
        <v>2</v>
      </c>
      <c r="B14" s="26" t="s">
        <v>59</v>
      </c>
      <c r="C14" s="27" t="s">
        <v>67</v>
      </c>
      <c r="D14" s="66"/>
      <c r="E14" s="28">
        <v>1094.02</v>
      </c>
      <c r="F14" s="163">
        <v>42775</v>
      </c>
      <c r="G14" s="50"/>
      <c r="H14" s="23">
        <v>42795</v>
      </c>
      <c r="I14" s="51">
        <f t="shared" si="7"/>
        <v>42805</v>
      </c>
      <c r="J14" s="52">
        <f t="shared" si="8"/>
        <v>42835</v>
      </c>
      <c r="K14" s="40">
        <f t="shared" si="9"/>
        <v>-10</v>
      </c>
      <c r="L14" s="41">
        <f t="shared" si="10"/>
        <v>-10940.2</v>
      </c>
      <c r="M14" s="53" t="str">
        <f t="shared" si="11"/>
        <v>S</v>
      </c>
      <c r="N14" s="41">
        <f t="shared" si="12"/>
        <v>1094.02</v>
      </c>
      <c r="O14" s="41" t="str">
        <f t="shared" si="13"/>
        <v xml:space="preserve"> </v>
      </c>
    </row>
    <row r="15" spans="1:15" x14ac:dyDescent="0.25">
      <c r="A15" s="64">
        <v>3</v>
      </c>
      <c r="B15" s="26" t="s">
        <v>60</v>
      </c>
      <c r="C15" s="27" t="s">
        <v>68</v>
      </c>
      <c r="D15" s="66"/>
      <c r="E15" s="28">
        <v>1116.3399999999999</v>
      </c>
      <c r="F15" s="163">
        <v>42775</v>
      </c>
      <c r="G15" s="50"/>
      <c r="H15" s="23">
        <v>42795</v>
      </c>
      <c r="I15" s="51">
        <f>IF(G15&lt;&gt;0,G15+30,F15+30)</f>
        <v>42805</v>
      </c>
      <c r="J15" s="52">
        <f>+I15+30</f>
        <v>42835</v>
      </c>
      <c r="K15" s="40">
        <f>IF((H15-I15)&lt;-30,-30,(H15-I15))</f>
        <v>-10</v>
      </c>
      <c r="L15" s="41">
        <f>ROUND(E15*K15,2)</f>
        <v>-11163.4</v>
      </c>
      <c r="M15" s="53" t="str">
        <f>IF(K15&lt;=30,"S","N")</f>
        <v>S</v>
      </c>
      <c r="N15" s="41">
        <f>IF(K15&lt;=30,E15," ")</f>
        <v>1116.3399999999999</v>
      </c>
      <c r="O15" s="41" t="str">
        <f>IF(K15&gt;30,E15," ")</f>
        <v xml:space="preserve"> </v>
      </c>
    </row>
    <row r="16" spans="1:15" s="70" customFormat="1" x14ac:dyDescent="0.25">
      <c r="A16" s="68">
        <v>4</v>
      </c>
      <c r="B16" s="37" t="s">
        <v>65</v>
      </c>
      <c r="C16" s="37" t="s">
        <v>73</v>
      </c>
      <c r="D16" s="66"/>
      <c r="E16" s="69">
        <v>11730.27</v>
      </c>
      <c r="F16" s="159">
        <v>42793</v>
      </c>
      <c r="G16" s="59"/>
      <c r="H16" s="23">
        <v>42795</v>
      </c>
      <c r="I16" s="60">
        <f t="shared" ref="I16:I17" si="14">IF(G16&lt;&gt;0,G16+30,F16+30)</f>
        <v>42823</v>
      </c>
      <c r="J16" s="61">
        <f t="shared" ref="J16:J17" si="15">+I16+30</f>
        <v>42853</v>
      </c>
      <c r="K16" s="56">
        <f t="shared" ref="K16:K17" si="16">IF((H16-I16)&lt;-30,-30,(H16-I16))</f>
        <v>-28</v>
      </c>
      <c r="L16" s="62">
        <f t="shared" ref="L16:L17" si="17">ROUND(E16*K16,2)</f>
        <v>-328447.56</v>
      </c>
      <c r="M16" s="63" t="str">
        <f t="shared" ref="M16:M17" si="18">IF(K16&lt;=30,"S","N")</f>
        <v>S</v>
      </c>
      <c r="N16" s="62">
        <f t="shared" ref="N16:N17" si="19">IF(K16&lt;=30,E16," ")</f>
        <v>11730.27</v>
      </c>
      <c r="O16" s="62" t="str">
        <f t="shared" ref="O16:O17" si="20">IF(K16&gt;30,E16," ")</f>
        <v xml:space="preserve"> </v>
      </c>
    </row>
    <row r="17" spans="1:15" s="70" customFormat="1" x14ac:dyDescent="0.25">
      <c r="A17" s="68">
        <v>5</v>
      </c>
      <c r="B17" s="37" t="s">
        <v>61</v>
      </c>
      <c r="C17" s="37" t="s">
        <v>69</v>
      </c>
      <c r="D17" s="66"/>
      <c r="E17" s="69">
        <v>488.84</v>
      </c>
      <c r="F17" s="159">
        <v>42773</v>
      </c>
      <c r="G17" s="59"/>
      <c r="H17" s="23">
        <v>42795</v>
      </c>
      <c r="I17" s="60">
        <f t="shared" si="14"/>
        <v>42803</v>
      </c>
      <c r="J17" s="61">
        <f t="shared" si="15"/>
        <v>42833</v>
      </c>
      <c r="K17" s="56">
        <f t="shared" si="16"/>
        <v>-8</v>
      </c>
      <c r="L17" s="62">
        <f t="shared" si="17"/>
        <v>-3910.72</v>
      </c>
      <c r="M17" s="63" t="str">
        <f t="shared" si="18"/>
        <v>S</v>
      </c>
      <c r="N17" s="62">
        <f t="shared" si="19"/>
        <v>488.84</v>
      </c>
      <c r="O17" s="62" t="str">
        <f t="shared" si="20"/>
        <v xml:space="preserve"> </v>
      </c>
    </row>
    <row r="18" spans="1:15" s="70" customFormat="1" x14ac:dyDescent="0.25">
      <c r="A18" s="68">
        <v>6</v>
      </c>
      <c r="B18" s="37" t="s">
        <v>63</v>
      </c>
      <c r="C18" s="37" t="s">
        <v>71</v>
      </c>
      <c r="D18" s="66"/>
      <c r="E18" s="69">
        <v>181.5</v>
      </c>
      <c r="F18" s="159">
        <v>42772</v>
      </c>
      <c r="G18" s="59"/>
      <c r="H18" s="23">
        <v>42795</v>
      </c>
      <c r="I18" s="60">
        <f t="shared" ref="I18:I30" si="21">IF(G18&lt;&gt;0,G18+30,F18+30)</f>
        <v>42802</v>
      </c>
      <c r="J18" s="61">
        <f t="shared" ref="J18:J30" si="22">+I18+30</f>
        <v>42832</v>
      </c>
      <c r="K18" s="56">
        <f t="shared" ref="K18:K30" si="23">IF((H18-I18)&lt;-30,-30,(H18-I18))</f>
        <v>-7</v>
      </c>
      <c r="L18" s="62">
        <f t="shared" ref="L18:L30" si="24">ROUND(E18*K18,2)</f>
        <v>-1270.5</v>
      </c>
      <c r="M18" s="63" t="str">
        <f t="shared" ref="M18:M30" si="25">IF(K18&lt;=30,"S","N")</f>
        <v>S</v>
      </c>
      <c r="N18" s="62">
        <f t="shared" ref="N18:N30" si="26">IF(K18&lt;=30,E18," ")</f>
        <v>181.5</v>
      </c>
      <c r="O18" s="62" t="str">
        <f t="shared" ref="O18:O30" si="27">IF(K18&gt;30,E18," ")</f>
        <v xml:space="preserve"> </v>
      </c>
    </row>
    <row r="19" spans="1:15" s="70" customFormat="1" x14ac:dyDescent="0.25">
      <c r="A19" s="68">
        <v>7</v>
      </c>
      <c r="B19" s="25" t="s">
        <v>50</v>
      </c>
      <c r="C19" s="65" t="s">
        <v>49</v>
      </c>
      <c r="D19" s="66"/>
      <c r="E19" s="67">
        <v>314.60000000000002</v>
      </c>
      <c r="F19" s="162">
        <v>42747</v>
      </c>
      <c r="G19" s="59"/>
      <c r="H19" s="23">
        <v>42795</v>
      </c>
      <c r="I19" s="60">
        <f t="shared" si="21"/>
        <v>42777</v>
      </c>
      <c r="J19" s="61">
        <f t="shared" si="22"/>
        <v>42807</v>
      </c>
      <c r="K19" s="56">
        <f t="shared" si="23"/>
        <v>18</v>
      </c>
      <c r="L19" s="62">
        <f t="shared" si="24"/>
        <v>5662.8</v>
      </c>
      <c r="M19" s="63" t="str">
        <f t="shared" si="25"/>
        <v>S</v>
      </c>
      <c r="N19" s="62">
        <f t="shared" si="26"/>
        <v>314.60000000000002</v>
      </c>
      <c r="O19" s="62" t="str">
        <f t="shared" si="27"/>
        <v xml:space="preserve"> </v>
      </c>
    </row>
    <row r="20" spans="1:15" s="70" customFormat="1" x14ac:dyDescent="0.25">
      <c r="A20" s="68">
        <v>8</v>
      </c>
      <c r="B20" s="54" t="s">
        <v>53</v>
      </c>
      <c r="C20" s="71" t="s">
        <v>78</v>
      </c>
      <c r="D20" s="66"/>
      <c r="E20" s="69">
        <v>36.659999999999997</v>
      </c>
      <c r="F20" s="50">
        <v>42797</v>
      </c>
      <c r="G20" s="59"/>
      <c r="H20" s="23">
        <v>42795</v>
      </c>
      <c r="I20" s="60">
        <f t="shared" si="21"/>
        <v>42827</v>
      </c>
      <c r="J20" s="61">
        <f t="shared" si="22"/>
        <v>42857</v>
      </c>
      <c r="K20" s="56">
        <f t="shared" si="23"/>
        <v>-30</v>
      </c>
      <c r="L20" s="62">
        <f t="shared" si="24"/>
        <v>-1099.8</v>
      </c>
      <c r="M20" s="63" t="str">
        <f t="shared" si="25"/>
        <v>S</v>
      </c>
      <c r="N20" s="62">
        <f t="shared" si="26"/>
        <v>36.659999999999997</v>
      </c>
      <c r="O20" s="62" t="str">
        <f t="shared" si="27"/>
        <v xml:space="preserve"> </v>
      </c>
    </row>
    <row r="21" spans="1:15" s="70" customFormat="1" x14ac:dyDescent="0.25">
      <c r="A21" s="68">
        <v>9</v>
      </c>
      <c r="B21" s="54" t="s">
        <v>66</v>
      </c>
      <c r="C21" s="72" t="s">
        <v>74</v>
      </c>
      <c r="D21" s="66"/>
      <c r="E21" s="55">
        <v>2181.8000000000002</v>
      </c>
      <c r="F21" s="159">
        <v>42794</v>
      </c>
      <c r="G21" s="73"/>
      <c r="H21" s="23">
        <v>42796</v>
      </c>
      <c r="I21" s="60">
        <f t="shared" ref="I21" si="28">IF(G21&lt;&gt;0,G21+30,F21+30)</f>
        <v>42824</v>
      </c>
      <c r="J21" s="61">
        <f t="shared" ref="J21" si="29">+I21+30</f>
        <v>42854</v>
      </c>
      <c r="K21" s="56">
        <f t="shared" ref="K21" si="30">IF((H21-I21)&lt;-30,-30,(H21-I21))</f>
        <v>-28</v>
      </c>
      <c r="L21" s="62">
        <f t="shared" ref="L21" si="31">ROUND(E21*K21,2)</f>
        <v>-61090.400000000001</v>
      </c>
      <c r="M21" s="63" t="str">
        <f t="shared" ref="M21" si="32">IF(K21&lt;=30,"S","N")</f>
        <v>S</v>
      </c>
      <c r="N21" s="62">
        <f t="shared" ref="N21" si="33">IF(K21&lt;=30,E21," ")</f>
        <v>2181.8000000000002</v>
      </c>
      <c r="O21" s="62" t="str">
        <f t="shared" ref="O21" si="34">IF(K21&gt;30,E21," ")</f>
        <v xml:space="preserve"> </v>
      </c>
    </row>
    <row r="22" spans="1:15" s="70" customFormat="1" x14ac:dyDescent="0.25">
      <c r="A22" s="68">
        <v>10</v>
      </c>
      <c r="B22" s="54" t="s">
        <v>62</v>
      </c>
      <c r="C22" s="54" t="s">
        <v>70</v>
      </c>
      <c r="D22" s="66"/>
      <c r="E22" s="55">
        <v>314.60000000000002</v>
      </c>
      <c r="F22" s="159">
        <v>42773</v>
      </c>
      <c r="G22" s="59"/>
      <c r="H22" s="24">
        <v>42796</v>
      </c>
      <c r="I22" s="60">
        <f t="shared" si="21"/>
        <v>42803</v>
      </c>
      <c r="J22" s="61">
        <f t="shared" si="22"/>
        <v>42833</v>
      </c>
      <c r="K22" s="56">
        <f t="shared" si="23"/>
        <v>-7</v>
      </c>
      <c r="L22" s="62">
        <f t="shared" si="24"/>
        <v>-2202.1999999999998</v>
      </c>
      <c r="M22" s="63" t="str">
        <f t="shared" si="25"/>
        <v>S</v>
      </c>
      <c r="N22" s="62">
        <f t="shared" si="26"/>
        <v>314.60000000000002</v>
      </c>
      <c r="O22" s="62" t="str">
        <f t="shared" si="27"/>
        <v xml:space="preserve"> </v>
      </c>
    </row>
    <row r="23" spans="1:15" s="70" customFormat="1" x14ac:dyDescent="0.25">
      <c r="A23" s="68">
        <v>11</v>
      </c>
      <c r="B23" s="20" t="s">
        <v>79</v>
      </c>
      <c r="C23" s="74" t="s">
        <v>80</v>
      </c>
      <c r="D23" s="66"/>
      <c r="E23" s="69">
        <v>26.93</v>
      </c>
      <c r="F23" s="159">
        <v>42804</v>
      </c>
      <c r="G23" s="59"/>
      <c r="H23" s="24">
        <v>42800</v>
      </c>
      <c r="I23" s="60">
        <f t="shared" si="21"/>
        <v>42834</v>
      </c>
      <c r="J23" s="61">
        <f t="shared" si="22"/>
        <v>42864</v>
      </c>
      <c r="K23" s="56">
        <f t="shared" si="23"/>
        <v>-30</v>
      </c>
      <c r="L23" s="62">
        <f t="shared" si="24"/>
        <v>-807.9</v>
      </c>
      <c r="M23" s="63" t="str">
        <f t="shared" si="25"/>
        <v>S</v>
      </c>
      <c r="N23" s="62">
        <f t="shared" si="26"/>
        <v>26.93</v>
      </c>
      <c r="O23" s="62" t="str">
        <f t="shared" si="27"/>
        <v xml:space="preserve"> </v>
      </c>
    </row>
    <row r="24" spans="1:15" s="70" customFormat="1" x14ac:dyDescent="0.25">
      <c r="A24" s="68">
        <v>12</v>
      </c>
      <c r="B24" s="54" t="s">
        <v>90</v>
      </c>
      <c r="C24" s="54" t="s">
        <v>91</v>
      </c>
      <c r="D24" s="66"/>
      <c r="E24" s="67">
        <v>2181.8000000000002</v>
      </c>
      <c r="F24" s="162">
        <v>42810</v>
      </c>
      <c r="G24" s="59"/>
      <c r="H24" s="24">
        <v>42815</v>
      </c>
      <c r="I24" s="60">
        <f t="shared" si="21"/>
        <v>42840</v>
      </c>
      <c r="J24" s="61">
        <f t="shared" si="22"/>
        <v>42870</v>
      </c>
      <c r="K24" s="56">
        <f>IF((H24-I24)&lt;-30,-30,(H24-I24))</f>
        <v>-25</v>
      </c>
      <c r="L24" s="62">
        <f t="shared" si="24"/>
        <v>-54545</v>
      </c>
      <c r="M24" s="63" t="str">
        <f t="shared" si="25"/>
        <v>S</v>
      </c>
      <c r="N24" s="62">
        <f t="shared" si="26"/>
        <v>2181.8000000000002</v>
      </c>
      <c r="O24" s="62" t="str">
        <f t="shared" si="27"/>
        <v xml:space="preserve"> </v>
      </c>
    </row>
    <row r="25" spans="1:15" s="70" customFormat="1" x14ac:dyDescent="0.25">
      <c r="A25" s="68">
        <v>13</v>
      </c>
      <c r="B25" s="54" t="s">
        <v>64</v>
      </c>
      <c r="C25" s="54" t="s">
        <v>72</v>
      </c>
      <c r="D25" s="66"/>
      <c r="E25" s="55">
        <v>92466.91</v>
      </c>
      <c r="F25" s="50">
        <v>42789</v>
      </c>
      <c r="G25" s="59"/>
      <c r="H25" s="24">
        <v>42817</v>
      </c>
      <c r="I25" s="60">
        <f t="shared" si="21"/>
        <v>42819</v>
      </c>
      <c r="J25" s="61">
        <f t="shared" si="22"/>
        <v>42849</v>
      </c>
      <c r="K25" s="56">
        <f t="shared" si="23"/>
        <v>-2</v>
      </c>
      <c r="L25" s="62">
        <f t="shared" si="24"/>
        <v>-184933.82</v>
      </c>
      <c r="M25" s="63" t="str">
        <f t="shared" si="25"/>
        <v>S</v>
      </c>
      <c r="N25" s="62">
        <f t="shared" si="26"/>
        <v>92466.91</v>
      </c>
      <c r="O25" s="62" t="str">
        <f t="shared" si="27"/>
        <v xml:space="preserve"> </v>
      </c>
    </row>
    <row r="26" spans="1:15" s="70" customFormat="1" x14ac:dyDescent="0.25">
      <c r="A26" s="68">
        <v>14</v>
      </c>
      <c r="B26" s="75" t="s">
        <v>81</v>
      </c>
      <c r="C26" s="76" t="s">
        <v>86</v>
      </c>
      <c r="D26" s="66"/>
      <c r="E26" s="77">
        <v>278.55</v>
      </c>
      <c r="F26" s="162">
        <v>42821</v>
      </c>
      <c r="G26" s="59"/>
      <c r="H26" s="79">
        <v>42821</v>
      </c>
      <c r="I26" s="60">
        <f t="shared" si="21"/>
        <v>42851</v>
      </c>
      <c r="J26" s="61">
        <f t="shared" si="22"/>
        <v>42881</v>
      </c>
      <c r="K26" s="56">
        <f t="shared" si="23"/>
        <v>-30</v>
      </c>
      <c r="L26" s="62">
        <f t="shared" si="24"/>
        <v>-8356.5</v>
      </c>
      <c r="M26" s="63" t="str">
        <f t="shared" si="25"/>
        <v>S</v>
      </c>
      <c r="N26" s="62">
        <f t="shared" si="26"/>
        <v>278.55</v>
      </c>
      <c r="O26" s="62" t="str">
        <f t="shared" si="27"/>
        <v xml:space="preserve"> </v>
      </c>
    </row>
    <row r="27" spans="1:15" s="70" customFormat="1" x14ac:dyDescent="0.25">
      <c r="A27" s="68">
        <v>15</v>
      </c>
      <c r="B27" s="16" t="s">
        <v>82</v>
      </c>
      <c r="C27" s="76" t="s">
        <v>87</v>
      </c>
      <c r="D27" s="66"/>
      <c r="E27" s="77">
        <v>60.4</v>
      </c>
      <c r="F27" s="162">
        <v>42821</v>
      </c>
      <c r="G27" s="59"/>
      <c r="H27" s="79">
        <v>42821</v>
      </c>
      <c r="I27" s="60">
        <f t="shared" si="21"/>
        <v>42851</v>
      </c>
      <c r="J27" s="61">
        <f t="shared" si="22"/>
        <v>42881</v>
      </c>
      <c r="K27" s="56">
        <f t="shared" si="23"/>
        <v>-30</v>
      </c>
      <c r="L27" s="62">
        <f t="shared" si="24"/>
        <v>-1812</v>
      </c>
      <c r="M27" s="63" t="str">
        <f t="shared" si="25"/>
        <v>S</v>
      </c>
      <c r="N27" s="62">
        <f t="shared" si="26"/>
        <v>60.4</v>
      </c>
      <c r="O27" s="62" t="str">
        <f t="shared" si="27"/>
        <v xml:space="preserve"> </v>
      </c>
    </row>
    <row r="28" spans="1:15" s="70" customFormat="1" x14ac:dyDescent="0.25">
      <c r="A28" s="68">
        <v>16</v>
      </c>
      <c r="B28" s="54" t="s">
        <v>83</v>
      </c>
      <c r="C28" s="80">
        <v>470389</v>
      </c>
      <c r="D28" s="66"/>
      <c r="E28" s="55">
        <v>4055.88</v>
      </c>
      <c r="F28" s="159">
        <v>42816</v>
      </c>
      <c r="G28" s="59"/>
      <c r="H28" s="79">
        <v>42822</v>
      </c>
      <c r="I28" s="60">
        <f t="shared" si="21"/>
        <v>42846</v>
      </c>
      <c r="J28" s="61">
        <f t="shared" si="22"/>
        <v>42876</v>
      </c>
      <c r="K28" s="56">
        <f t="shared" si="23"/>
        <v>-24</v>
      </c>
      <c r="L28" s="62">
        <f t="shared" si="24"/>
        <v>-97341.119999999995</v>
      </c>
      <c r="M28" s="63" t="str">
        <f t="shared" si="25"/>
        <v>S</v>
      </c>
      <c r="N28" s="62">
        <f t="shared" si="26"/>
        <v>4055.88</v>
      </c>
      <c r="O28" s="62" t="str">
        <f t="shared" si="27"/>
        <v xml:space="preserve"> </v>
      </c>
    </row>
    <row r="29" spans="1:15" s="70" customFormat="1" x14ac:dyDescent="0.25">
      <c r="A29" s="68">
        <v>17</v>
      </c>
      <c r="B29" s="16" t="s">
        <v>84</v>
      </c>
      <c r="C29" s="71" t="s">
        <v>88</v>
      </c>
      <c r="D29" s="66"/>
      <c r="E29" s="55">
        <v>1094.02</v>
      </c>
      <c r="F29" s="159">
        <v>42816</v>
      </c>
      <c r="G29" s="59"/>
      <c r="H29" s="79">
        <v>42822</v>
      </c>
      <c r="I29" s="60">
        <f t="shared" si="21"/>
        <v>42846</v>
      </c>
      <c r="J29" s="61">
        <f t="shared" si="22"/>
        <v>42876</v>
      </c>
      <c r="K29" s="56">
        <f t="shared" si="23"/>
        <v>-24</v>
      </c>
      <c r="L29" s="62">
        <f t="shared" si="24"/>
        <v>-26256.48</v>
      </c>
      <c r="M29" s="63" t="str">
        <f t="shared" si="25"/>
        <v>S</v>
      </c>
      <c r="N29" s="62">
        <f t="shared" si="26"/>
        <v>1094.02</v>
      </c>
      <c r="O29" s="62" t="str">
        <f t="shared" si="27"/>
        <v xml:space="preserve"> </v>
      </c>
    </row>
    <row r="30" spans="1:15" s="70" customFormat="1" x14ac:dyDescent="0.25">
      <c r="A30" s="68">
        <v>18</v>
      </c>
      <c r="B30" s="16" t="s">
        <v>85</v>
      </c>
      <c r="C30" s="71" t="s">
        <v>89</v>
      </c>
      <c r="D30" s="66"/>
      <c r="E30" s="55">
        <v>1116.3399999999999</v>
      </c>
      <c r="F30" s="159">
        <v>42816</v>
      </c>
      <c r="G30" s="59"/>
      <c r="H30" s="79">
        <v>42822</v>
      </c>
      <c r="I30" s="60">
        <f t="shared" si="21"/>
        <v>42846</v>
      </c>
      <c r="J30" s="61">
        <f t="shared" si="22"/>
        <v>42876</v>
      </c>
      <c r="K30" s="56">
        <f t="shared" si="23"/>
        <v>-24</v>
      </c>
      <c r="L30" s="62">
        <f t="shared" si="24"/>
        <v>-26792.16</v>
      </c>
      <c r="M30" s="63" t="str">
        <f t="shared" si="25"/>
        <v>S</v>
      </c>
      <c r="N30" s="62">
        <f t="shared" si="26"/>
        <v>1116.3399999999999</v>
      </c>
      <c r="O30" s="62" t="str">
        <f t="shared" si="27"/>
        <v xml:space="preserve"> </v>
      </c>
    </row>
    <row r="31" spans="1:15" x14ac:dyDescent="0.25">
      <c r="B31" s="25"/>
      <c r="C31" s="81" t="s">
        <v>77</v>
      </c>
      <c r="D31" s="43"/>
      <c r="E31" s="44">
        <f>SUM(E13:E30)</f>
        <v>118793.73000000001</v>
      </c>
      <c r="F31" s="160"/>
      <c r="G31" s="119"/>
      <c r="H31" s="118"/>
      <c r="I31" s="120"/>
      <c r="J31" s="114"/>
      <c r="K31" s="45">
        <f>SUM(K13:K30)</f>
        <v>-281</v>
      </c>
      <c r="L31" s="46">
        <f>SUM(L13:L30)</f>
        <v>-814330.10000000009</v>
      </c>
      <c r="M31" s="115"/>
      <c r="N31" s="46">
        <f>SUM(N13:N30)</f>
        <v>118793.73000000001</v>
      </c>
      <c r="O31" s="46">
        <f>SUM(O13:O30)</f>
        <v>0</v>
      </c>
    </row>
    <row r="32" spans="1:15" x14ac:dyDescent="0.25">
      <c r="A32" s="64">
        <v>1</v>
      </c>
      <c r="B32" s="20" t="s">
        <v>92</v>
      </c>
      <c r="C32" s="74" t="s">
        <v>93</v>
      </c>
      <c r="D32" s="66"/>
      <c r="E32" s="82">
        <v>36.299999999999997</v>
      </c>
      <c r="F32" s="59">
        <v>42826</v>
      </c>
      <c r="G32" s="50"/>
      <c r="H32" s="84">
        <v>42828</v>
      </c>
      <c r="I32" s="51">
        <f>IF(G32&lt;&gt;0,G32+30,F32+30)</f>
        <v>42856</v>
      </c>
      <c r="J32" s="52">
        <f t="shared" ref="J32:J33" si="35">+I32+30</f>
        <v>42886</v>
      </c>
      <c r="K32" s="40">
        <f t="shared" ref="K32:K33" si="36">IF((H32-I32)&lt;-30,-30,(H32-I32))</f>
        <v>-28</v>
      </c>
      <c r="L32" s="41">
        <f t="shared" ref="L32:L33" si="37">ROUND(E32*K32,2)</f>
        <v>-1016.4</v>
      </c>
      <c r="M32" s="53" t="str">
        <f t="shared" ref="M32:M33" si="38">IF(K32&lt;=30,"S","N")</f>
        <v>S</v>
      </c>
      <c r="N32" s="41">
        <f t="shared" ref="N32:N33" si="39">IF(K32&lt;=30,E32," ")</f>
        <v>36.299999999999997</v>
      </c>
      <c r="O32" s="41" t="str">
        <f t="shared" ref="O32:O33" si="40">IF(K32&gt;30,E32," ")</f>
        <v xml:space="preserve"> </v>
      </c>
    </row>
    <row r="33" spans="1:15" x14ac:dyDescent="0.25">
      <c r="A33" s="64">
        <v>2</v>
      </c>
      <c r="B33" s="20" t="s">
        <v>79</v>
      </c>
      <c r="C33" s="74" t="s">
        <v>94</v>
      </c>
      <c r="D33" s="66"/>
      <c r="E33" s="82">
        <v>18.510000000000002</v>
      </c>
      <c r="F33" s="59">
        <v>42831</v>
      </c>
      <c r="G33" s="50"/>
      <c r="H33" s="84">
        <v>42831</v>
      </c>
      <c r="I33" s="51">
        <f t="shared" ref="I33" si="41">IF(G33&lt;&gt;0,G33+30,F33+30)</f>
        <v>42861</v>
      </c>
      <c r="J33" s="52">
        <f t="shared" si="35"/>
        <v>42891</v>
      </c>
      <c r="K33" s="40">
        <f t="shared" si="36"/>
        <v>-30</v>
      </c>
      <c r="L33" s="41">
        <f t="shared" si="37"/>
        <v>-555.29999999999995</v>
      </c>
      <c r="M33" s="53" t="str">
        <f t="shared" si="38"/>
        <v>S</v>
      </c>
      <c r="N33" s="41">
        <f t="shared" si="39"/>
        <v>18.510000000000002</v>
      </c>
      <c r="O33" s="41" t="str">
        <f t="shared" si="40"/>
        <v xml:space="preserve"> </v>
      </c>
    </row>
    <row r="34" spans="1:15" x14ac:dyDescent="0.25">
      <c r="A34" s="64">
        <v>3</v>
      </c>
      <c r="B34" s="85" t="s">
        <v>95</v>
      </c>
      <c r="C34" s="80" t="s">
        <v>102</v>
      </c>
      <c r="D34" s="66"/>
      <c r="E34" s="55">
        <v>41.99</v>
      </c>
      <c r="F34" s="159">
        <v>42831</v>
      </c>
      <c r="G34" s="50"/>
      <c r="H34" s="84">
        <v>42845</v>
      </c>
      <c r="I34" s="51">
        <f>IF(G34&lt;&gt;0,G34+30,F34+30)</f>
        <v>42861</v>
      </c>
      <c r="J34" s="52">
        <f>+I34+30</f>
        <v>42891</v>
      </c>
      <c r="K34" s="40">
        <f>IF((H34-I34)&lt;-30,-30,(H34-I34))</f>
        <v>-16</v>
      </c>
      <c r="L34" s="41">
        <f>ROUND(E34*K34,2)</f>
        <v>-671.84</v>
      </c>
      <c r="M34" s="53" t="str">
        <f>IF(K34&lt;=30,"S","N")</f>
        <v>S</v>
      </c>
      <c r="N34" s="41">
        <f>IF(K34&lt;=30,E34," ")</f>
        <v>41.99</v>
      </c>
      <c r="O34" s="41" t="str">
        <f>IF(K34&gt;30,E34," ")</f>
        <v xml:space="preserve"> </v>
      </c>
    </row>
    <row r="35" spans="1:15" s="70" customFormat="1" x14ac:dyDescent="0.25">
      <c r="A35" s="68">
        <v>4</v>
      </c>
      <c r="B35" s="75" t="s">
        <v>81</v>
      </c>
      <c r="C35" s="71" t="s">
        <v>103</v>
      </c>
      <c r="D35" s="66"/>
      <c r="E35" s="77">
        <v>278.55</v>
      </c>
      <c r="F35" s="159">
        <v>42850</v>
      </c>
      <c r="G35" s="59"/>
      <c r="H35" s="84">
        <v>42850</v>
      </c>
      <c r="I35" s="60">
        <f t="shared" ref="I35:I42" si="42">IF(G35&lt;&gt;0,G35+30,F35+30)</f>
        <v>42880</v>
      </c>
      <c r="J35" s="61">
        <f t="shared" ref="J35:J42" si="43">+I35+30</f>
        <v>42910</v>
      </c>
      <c r="K35" s="56">
        <f t="shared" ref="K35:K42" si="44">IF((H35-I35)&lt;-30,-30,(H35-I35))</f>
        <v>-30</v>
      </c>
      <c r="L35" s="62">
        <f t="shared" ref="L35:L42" si="45">ROUND(E35*K35,2)</f>
        <v>-8356.5</v>
      </c>
      <c r="M35" s="63" t="str">
        <f t="shared" ref="M35:M42" si="46">IF(K35&lt;=30,"S","N")</f>
        <v>S</v>
      </c>
      <c r="N35" s="62">
        <f t="shared" ref="N35:N42" si="47">IF(K35&lt;=30,E35," ")</f>
        <v>278.55</v>
      </c>
      <c r="O35" s="62" t="str">
        <f t="shared" ref="O35:O42" si="48">IF(K35&gt;30,E35," ")</f>
        <v xml:space="preserve"> </v>
      </c>
    </row>
    <row r="36" spans="1:15" s="70" customFormat="1" x14ac:dyDescent="0.25">
      <c r="A36" s="68">
        <v>5</v>
      </c>
      <c r="B36" s="16" t="s">
        <v>82</v>
      </c>
      <c r="C36" s="71" t="s">
        <v>104</v>
      </c>
      <c r="D36" s="66"/>
      <c r="E36" s="77">
        <v>60.4</v>
      </c>
      <c r="F36" s="159">
        <v>42850</v>
      </c>
      <c r="G36" s="59"/>
      <c r="H36" s="84">
        <v>42850</v>
      </c>
      <c r="I36" s="60">
        <f t="shared" si="42"/>
        <v>42880</v>
      </c>
      <c r="J36" s="61">
        <f t="shared" si="43"/>
        <v>42910</v>
      </c>
      <c r="K36" s="56">
        <f t="shared" si="44"/>
        <v>-30</v>
      </c>
      <c r="L36" s="62">
        <f t="shared" si="45"/>
        <v>-1812</v>
      </c>
      <c r="M36" s="63" t="str">
        <f t="shared" si="46"/>
        <v>S</v>
      </c>
      <c r="N36" s="62">
        <f t="shared" si="47"/>
        <v>60.4</v>
      </c>
      <c r="O36" s="62" t="str">
        <f t="shared" si="48"/>
        <v xml:space="preserve"> </v>
      </c>
    </row>
    <row r="37" spans="1:15" s="70" customFormat="1" x14ac:dyDescent="0.25">
      <c r="A37" s="68">
        <v>6</v>
      </c>
      <c r="B37" s="86" t="s">
        <v>96</v>
      </c>
      <c r="C37" s="76" t="s">
        <v>105</v>
      </c>
      <c r="D37" s="66"/>
      <c r="E37" s="82">
        <v>1040.5999999999999</v>
      </c>
      <c r="F37" s="162">
        <v>42831</v>
      </c>
      <c r="G37" s="59"/>
      <c r="H37" s="78">
        <v>42852</v>
      </c>
      <c r="I37" s="60">
        <f t="shared" si="42"/>
        <v>42861</v>
      </c>
      <c r="J37" s="61">
        <f t="shared" si="43"/>
        <v>42891</v>
      </c>
      <c r="K37" s="56">
        <f t="shared" si="44"/>
        <v>-9</v>
      </c>
      <c r="L37" s="62">
        <f t="shared" si="45"/>
        <v>-9365.4</v>
      </c>
      <c r="M37" s="63" t="str">
        <f t="shared" si="46"/>
        <v>S</v>
      </c>
      <c r="N37" s="62">
        <f t="shared" si="47"/>
        <v>1040.5999999999999</v>
      </c>
      <c r="O37" s="62" t="str">
        <f t="shared" si="48"/>
        <v xml:space="preserve"> </v>
      </c>
    </row>
    <row r="38" spans="1:15" s="70" customFormat="1" x14ac:dyDescent="0.25">
      <c r="A38" s="68">
        <v>7</v>
      </c>
      <c r="B38" s="86" t="s">
        <v>97</v>
      </c>
      <c r="C38" s="76" t="s">
        <v>106</v>
      </c>
      <c r="D38" s="66"/>
      <c r="E38" s="82">
        <v>665.5</v>
      </c>
      <c r="F38" s="162">
        <v>42832</v>
      </c>
      <c r="G38" s="59"/>
      <c r="H38" s="78">
        <v>42852</v>
      </c>
      <c r="I38" s="60">
        <f t="shared" si="42"/>
        <v>42862</v>
      </c>
      <c r="J38" s="61">
        <f t="shared" si="43"/>
        <v>42892</v>
      </c>
      <c r="K38" s="56">
        <f t="shared" si="44"/>
        <v>-10</v>
      </c>
      <c r="L38" s="62">
        <f t="shared" si="45"/>
        <v>-6655</v>
      </c>
      <c r="M38" s="63" t="str">
        <f t="shared" si="46"/>
        <v>S</v>
      </c>
      <c r="N38" s="62">
        <f t="shared" si="47"/>
        <v>665.5</v>
      </c>
      <c r="O38" s="62" t="str">
        <f t="shared" si="48"/>
        <v xml:space="preserve"> </v>
      </c>
    </row>
    <row r="39" spans="1:15" s="70" customFormat="1" x14ac:dyDescent="0.25">
      <c r="A39" s="68">
        <v>8</v>
      </c>
      <c r="B39" s="87" t="s">
        <v>98</v>
      </c>
      <c r="C39" s="76" t="s">
        <v>107</v>
      </c>
      <c r="D39" s="66"/>
      <c r="E39" s="82">
        <v>181.5</v>
      </c>
      <c r="F39" s="162">
        <v>42828</v>
      </c>
      <c r="G39" s="59"/>
      <c r="H39" s="78">
        <v>42852</v>
      </c>
      <c r="I39" s="60">
        <f t="shared" si="42"/>
        <v>42858</v>
      </c>
      <c r="J39" s="61">
        <f t="shared" si="43"/>
        <v>42888</v>
      </c>
      <c r="K39" s="56">
        <f t="shared" si="44"/>
        <v>-6</v>
      </c>
      <c r="L39" s="62">
        <f t="shared" si="45"/>
        <v>-1089</v>
      </c>
      <c r="M39" s="63" t="str">
        <f t="shared" si="46"/>
        <v>S</v>
      </c>
      <c r="N39" s="62">
        <f t="shared" si="47"/>
        <v>181.5</v>
      </c>
      <c r="O39" s="62" t="str">
        <f t="shared" si="48"/>
        <v xml:space="preserve"> </v>
      </c>
    </row>
    <row r="40" spans="1:15" s="70" customFormat="1" ht="30" x14ac:dyDescent="0.25">
      <c r="A40" s="68">
        <v>9</v>
      </c>
      <c r="B40" s="88" t="s">
        <v>99</v>
      </c>
      <c r="C40" s="76" t="s">
        <v>108</v>
      </c>
      <c r="D40" s="66"/>
      <c r="E40" s="82">
        <v>943.8</v>
      </c>
      <c r="F40" s="162">
        <v>42851</v>
      </c>
      <c r="G40" s="89"/>
      <c r="H40" s="78">
        <v>42852</v>
      </c>
      <c r="I40" s="60">
        <f t="shared" si="42"/>
        <v>42881</v>
      </c>
      <c r="J40" s="61">
        <f t="shared" si="43"/>
        <v>42911</v>
      </c>
      <c r="K40" s="56">
        <f t="shared" si="44"/>
        <v>-29</v>
      </c>
      <c r="L40" s="62">
        <f t="shared" si="45"/>
        <v>-27370.2</v>
      </c>
      <c r="M40" s="63" t="str">
        <f t="shared" si="46"/>
        <v>S</v>
      </c>
      <c r="N40" s="62">
        <f t="shared" si="47"/>
        <v>943.8</v>
      </c>
      <c r="O40" s="62" t="str">
        <f t="shared" si="48"/>
        <v xml:space="preserve"> </v>
      </c>
    </row>
    <row r="41" spans="1:15" s="70" customFormat="1" x14ac:dyDescent="0.25">
      <c r="A41" s="68">
        <v>10</v>
      </c>
      <c r="B41" s="88" t="s">
        <v>100</v>
      </c>
      <c r="C41" s="76" t="s">
        <v>109</v>
      </c>
      <c r="D41" s="66"/>
      <c r="E41" s="82">
        <v>314.60000000000002</v>
      </c>
      <c r="F41" s="162">
        <v>42831</v>
      </c>
      <c r="G41" s="59"/>
      <c r="H41" s="78">
        <v>42852</v>
      </c>
      <c r="I41" s="60">
        <f t="shared" si="42"/>
        <v>42861</v>
      </c>
      <c r="J41" s="61">
        <f t="shared" si="43"/>
        <v>42891</v>
      </c>
      <c r="K41" s="56">
        <f t="shared" si="44"/>
        <v>-9</v>
      </c>
      <c r="L41" s="62">
        <f t="shared" si="45"/>
        <v>-2831.4</v>
      </c>
      <c r="M41" s="63" t="str">
        <f t="shared" si="46"/>
        <v>S</v>
      </c>
      <c r="N41" s="62">
        <f t="shared" si="47"/>
        <v>314.60000000000002</v>
      </c>
      <c r="O41" s="62" t="str">
        <f t="shared" si="48"/>
        <v xml:space="preserve"> </v>
      </c>
    </row>
    <row r="42" spans="1:15" s="70" customFormat="1" x14ac:dyDescent="0.25">
      <c r="A42" s="68">
        <v>11</v>
      </c>
      <c r="B42" s="75" t="s">
        <v>101</v>
      </c>
      <c r="C42" s="76" t="s">
        <v>110</v>
      </c>
      <c r="D42" s="66"/>
      <c r="E42" s="82">
        <v>188.16</v>
      </c>
      <c r="F42" s="162">
        <v>42835</v>
      </c>
      <c r="G42" s="59"/>
      <c r="H42" s="78">
        <v>42852</v>
      </c>
      <c r="I42" s="60">
        <f t="shared" si="42"/>
        <v>42865</v>
      </c>
      <c r="J42" s="61">
        <f t="shared" si="43"/>
        <v>42895</v>
      </c>
      <c r="K42" s="56">
        <f t="shared" si="44"/>
        <v>-13</v>
      </c>
      <c r="L42" s="62">
        <f t="shared" si="45"/>
        <v>-2446.08</v>
      </c>
      <c r="M42" s="63" t="str">
        <f t="shared" si="46"/>
        <v>S</v>
      </c>
      <c r="N42" s="62">
        <f t="shared" si="47"/>
        <v>188.16</v>
      </c>
      <c r="O42" s="62" t="str">
        <f t="shared" si="48"/>
        <v xml:space="preserve"> </v>
      </c>
    </row>
    <row r="43" spans="1:15" x14ac:dyDescent="0.25">
      <c r="B43" s="25"/>
      <c r="C43" s="113" t="s">
        <v>111</v>
      </c>
      <c r="D43" s="43"/>
      <c r="E43" s="44">
        <f>SUM(E32:E42)</f>
        <v>3769.9099999999994</v>
      </c>
      <c r="F43" s="160"/>
      <c r="G43" s="119"/>
      <c r="H43" s="118"/>
      <c r="I43" s="120"/>
      <c r="J43" s="114"/>
      <c r="K43" s="45">
        <f>SUM(K32:K42)</f>
        <v>-210</v>
      </c>
      <c r="L43" s="46">
        <f>SUM(L32:L42)</f>
        <v>-62169.120000000003</v>
      </c>
      <c r="M43" s="115"/>
      <c r="N43" s="46">
        <f>SUM(N32:N42)</f>
        <v>3769.9099999999994</v>
      </c>
      <c r="O43" s="46">
        <f>SUM(O32:O42)</f>
        <v>0</v>
      </c>
    </row>
    <row r="44" spans="1:15" x14ac:dyDescent="0.25">
      <c r="A44" s="64">
        <v>1</v>
      </c>
      <c r="B44" s="20" t="s">
        <v>113</v>
      </c>
      <c r="C44" s="74" t="s">
        <v>123</v>
      </c>
      <c r="D44" s="58"/>
      <c r="E44" s="82">
        <v>35.130000000000003</v>
      </c>
      <c r="F44" s="59">
        <v>42858</v>
      </c>
      <c r="G44" s="59"/>
      <c r="H44" s="83">
        <v>42857</v>
      </c>
      <c r="I44" s="51">
        <f>IF(G44&lt;&gt;0,G44+30,F44+30)</f>
        <v>42888</v>
      </c>
      <c r="J44" s="52">
        <f t="shared" ref="J44:J45" si="49">+I44+30</f>
        <v>42918</v>
      </c>
      <c r="K44" s="40">
        <f t="shared" ref="K44:K45" si="50">IF((H44-I44)&lt;-30,-30,(H44-I44))</f>
        <v>-30</v>
      </c>
      <c r="L44" s="41">
        <f t="shared" ref="L44:L45" si="51">ROUND(E44*K44,2)</f>
        <v>-1053.9000000000001</v>
      </c>
      <c r="M44" s="53" t="str">
        <f t="shared" ref="M44:M45" si="52">IF(K44&lt;=30,"S","N")</f>
        <v>S</v>
      </c>
      <c r="N44" s="41">
        <f t="shared" ref="N44:N45" si="53">IF(K44&lt;=30,E44," ")</f>
        <v>35.130000000000003</v>
      </c>
      <c r="O44" s="41" t="str">
        <f t="shared" ref="O44:O45" si="54">IF(K44&gt;30,E44," ")</f>
        <v xml:space="preserve"> </v>
      </c>
    </row>
    <row r="45" spans="1:15" x14ac:dyDescent="0.25">
      <c r="A45" s="64">
        <v>2</v>
      </c>
      <c r="B45" s="20" t="s">
        <v>79</v>
      </c>
      <c r="C45" s="74"/>
      <c r="D45" s="58"/>
      <c r="E45" s="82">
        <v>18.510000000000002</v>
      </c>
      <c r="F45" s="59">
        <v>42860</v>
      </c>
      <c r="G45" s="59"/>
      <c r="H45" s="83">
        <v>42860</v>
      </c>
      <c r="I45" s="51">
        <f t="shared" ref="I45" si="55">IF(G45&lt;&gt;0,G45+30,F45+30)</f>
        <v>42890</v>
      </c>
      <c r="J45" s="52">
        <f t="shared" si="49"/>
        <v>42920</v>
      </c>
      <c r="K45" s="40">
        <f t="shared" si="50"/>
        <v>-30</v>
      </c>
      <c r="L45" s="41">
        <f t="shared" si="51"/>
        <v>-555.29999999999995</v>
      </c>
      <c r="M45" s="53" t="str">
        <f t="shared" si="52"/>
        <v>S</v>
      </c>
      <c r="N45" s="41">
        <f t="shared" si="53"/>
        <v>18.510000000000002</v>
      </c>
      <c r="O45" s="41" t="str">
        <f t="shared" si="54"/>
        <v xml:space="preserve"> </v>
      </c>
    </row>
    <row r="46" spans="1:15" x14ac:dyDescent="0.25">
      <c r="A46" s="64">
        <v>3</v>
      </c>
      <c r="B46" s="20" t="s">
        <v>114</v>
      </c>
      <c r="C46" s="74" t="s">
        <v>124</v>
      </c>
      <c r="D46" s="58"/>
      <c r="E46" s="82">
        <v>14.09</v>
      </c>
      <c r="F46" s="59">
        <v>42865</v>
      </c>
      <c r="G46" s="59"/>
      <c r="H46" s="83">
        <v>42865</v>
      </c>
      <c r="I46" s="51">
        <f>IF(G46&lt;&gt;0,G46+30,F46+30)</f>
        <v>42895</v>
      </c>
      <c r="J46" s="52">
        <f>+I46+30</f>
        <v>42925</v>
      </c>
      <c r="K46" s="40">
        <f>IF((H46-I46)&lt;-30,-30,(H46-I46))</f>
        <v>-30</v>
      </c>
      <c r="L46" s="41">
        <f>ROUND(E46*K46,2)</f>
        <v>-422.7</v>
      </c>
      <c r="M46" s="53" t="str">
        <f>IF(K46&lt;=30,"S","N")</f>
        <v>S</v>
      </c>
      <c r="N46" s="41">
        <f>IF(K46&lt;=30,E46," ")</f>
        <v>14.09</v>
      </c>
      <c r="O46" s="41" t="str">
        <f>IF(K46&gt;30,E46," ")</f>
        <v xml:space="preserve"> </v>
      </c>
    </row>
    <row r="47" spans="1:15" s="70" customFormat="1" x14ac:dyDescent="0.25">
      <c r="A47" s="68">
        <v>4</v>
      </c>
      <c r="B47" s="20" t="s">
        <v>112</v>
      </c>
      <c r="C47" s="74" t="s">
        <v>125</v>
      </c>
      <c r="D47" s="58"/>
      <c r="E47" s="82">
        <v>2329.25</v>
      </c>
      <c r="F47" s="59">
        <v>42852</v>
      </c>
      <c r="G47" s="59"/>
      <c r="H47" s="83">
        <v>42866</v>
      </c>
      <c r="I47" s="60">
        <f t="shared" ref="I47:I54" si="56">IF(G47&lt;&gt;0,G47+30,F47+30)</f>
        <v>42882</v>
      </c>
      <c r="J47" s="61">
        <f t="shared" ref="J47:J54" si="57">+I47+30</f>
        <v>42912</v>
      </c>
      <c r="K47" s="56">
        <f t="shared" ref="K47:K54" si="58">IF((H47-I47)&lt;-30,-30,(H47-I47))</f>
        <v>-16</v>
      </c>
      <c r="L47" s="62">
        <f t="shared" ref="L47:L54" si="59">ROUND(E47*K47,2)</f>
        <v>-37268</v>
      </c>
      <c r="M47" s="63" t="str">
        <f t="shared" ref="M47:M54" si="60">IF(K47&lt;=30,"S","N")</f>
        <v>S</v>
      </c>
      <c r="N47" s="62">
        <f t="shared" ref="N47:N54" si="61">IF(K47&lt;=30,E47," ")</f>
        <v>2329.25</v>
      </c>
      <c r="O47" s="62" t="str">
        <f t="shared" ref="O47:O54" si="62">IF(K47&gt;30,E47," ")</f>
        <v xml:space="preserve"> </v>
      </c>
    </row>
    <row r="48" spans="1:15" s="70" customFormat="1" ht="30" x14ac:dyDescent="0.25">
      <c r="A48" s="68">
        <v>5</v>
      </c>
      <c r="B48" s="88" t="s">
        <v>115</v>
      </c>
      <c r="C48" s="74" t="s">
        <v>126</v>
      </c>
      <c r="D48" s="58"/>
      <c r="E48" s="82">
        <v>314.60000000000002</v>
      </c>
      <c r="F48" s="59">
        <v>42859</v>
      </c>
      <c r="G48" s="59"/>
      <c r="H48" s="83">
        <v>42866</v>
      </c>
      <c r="I48" s="60">
        <f t="shared" si="56"/>
        <v>42889</v>
      </c>
      <c r="J48" s="61">
        <f t="shared" si="57"/>
        <v>42919</v>
      </c>
      <c r="K48" s="56">
        <f t="shared" si="58"/>
        <v>-23</v>
      </c>
      <c r="L48" s="62">
        <f t="shared" si="59"/>
        <v>-7235.8</v>
      </c>
      <c r="M48" s="63" t="str">
        <f t="shared" si="60"/>
        <v>S</v>
      </c>
      <c r="N48" s="62">
        <f t="shared" si="61"/>
        <v>314.60000000000002</v>
      </c>
      <c r="O48" s="62" t="str">
        <f t="shared" si="62"/>
        <v xml:space="preserve"> </v>
      </c>
    </row>
    <row r="49" spans="1:15" s="70" customFormat="1" x14ac:dyDescent="0.25">
      <c r="A49" s="68">
        <v>6</v>
      </c>
      <c r="B49" s="20" t="s">
        <v>116</v>
      </c>
      <c r="C49" s="74" t="s">
        <v>127</v>
      </c>
      <c r="D49" s="58"/>
      <c r="E49" s="82">
        <v>11730.27</v>
      </c>
      <c r="F49" s="59">
        <v>42864</v>
      </c>
      <c r="G49" s="59"/>
      <c r="H49" s="83">
        <v>42866</v>
      </c>
      <c r="I49" s="60">
        <f t="shared" si="56"/>
        <v>42894</v>
      </c>
      <c r="J49" s="61">
        <f t="shared" si="57"/>
        <v>42924</v>
      </c>
      <c r="K49" s="56">
        <f t="shared" si="58"/>
        <v>-28</v>
      </c>
      <c r="L49" s="62">
        <f t="shared" si="59"/>
        <v>-328447.56</v>
      </c>
      <c r="M49" s="63" t="str">
        <f t="shared" si="60"/>
        <v>S</v>
      </c>
      <c r="N49" s="62">
        <f t="shared" si="61"/>
        <v>11730.27</v>
      </c>
      <c r="O49" s="62" t="str">
        <f t="shared" si="62"/>
        <v xml:space="preserve"> </v>
      </c>
    </row>
    <row r="50" spans="1:15" s="70" customFormat="1" ht="30" x14ac:dyDescent="0.25">
      <c r="A50" s="68">
        <v>7</v>
      </c>
      <c r="B50" s="88" t="s">
        <v>117</v>
      </c>
      <c r="C50" s="74" t="s">
        <v>128</v>
      </c>
      <c r="D50" s="58"/>
      <c r="E50" s="82">
        <v>13.21</v>
      </c>
      <c r="F50" s="59">
        <v>42865</v>
      </c>
      <c r="G50" s="59"/>
      <c r="H50" s="83">
        <v>42870</v>
      </c>
      <c r="I50" s="60">
        <f t="shared" si="56"/>
        <v>42895</v>
      </c>
      <c r="J50" s="61">
        <f t="shared" si="57"/>
        <v>42925</v>
      </c>
      <c r="K50" s="56">
        <f t="shared" si="58"/>
        <v>-25</v>
      </c>
      <c r="L50" s="62">
        <f t="shared" si="59"/>
        <v>-330.25</v>
      </c>
      <c r="M50" s="63" t="str">
        <f t="shared" si="60"/>
        <v>S</v>
      </c>
      <c r="N50" s="62">
        <f t="shared" si="61"/>
        <v>13.21</v>
      </c>
      <c r="O50" s="62" t="str">
        <f t="shared" si="62"/>
        <v xml:space="preserve"> </v>
      </c>
    </row>
    <row r="51" spans="1:15" s="70" customFormat="1" x14ac:dyDescent="0.25">
      <c r="A51" s="68">
        <v>8</v>
      </c>
      <c r="B51" s="117" t="s">
        <v>118</v>
      </c>
      <c r="C51" s="74" t="s">
        <v>129</v>
      </c>
      <c r="D51" s="58"/>
      <c r="E51" s="82">
        <v>14520</v>
      </c>
      <c r="F51" s="59">
        <v>42879</v>
      </c>
      <c r="G51" s="59"/>
      <c r="H51" s="83">
        <v>42880</v>
      </c>
      <c r="I51" s="60">
        <f>IF(G51&lt;&gt;0,G51+30,F51+30)</f>
        <v>42909</v>
      </c>
      <c r="J51" s="61">
        <f t="shared" si="57"/>
        <v>42939</v>
      </c>
      <c r="K51" s="56">
        <f t="shared" si="58"/>
        <v>-29</v>
      </c>
      <c r="L51" s="62">
        <f t="shared" si="59"/>
        <v>-421080</v>
      </c>
      <c r="M51" s="63" t="str">
        <f t="shared" si="60"/>
        <v>S</v>
      </c>
      <c r="N51" s="62">
        <f t="shared" si="61"/>
        <v>14520</v>
      </c>
      <c r="O51" s="62" t="str">
        <f t="shared" si="62"/>
        <v xml:space="preserve"> </v>
      </c>
    </row>
    <row r="52" spans="1:15" s="70" customFormat="1" x14ac:dyDescent="0.25">
      <c r="A52" s="68">
        <v>9</v>
      </c>
      <c r="B52" s="20" t="s">
        <v>119</v>
      </c>
      <c r="C52" s="74" t="s">
        <v>130</v>
      </c>
      <c r="D52" s="58"/>
      <c r="E52" s="82">
        <v>14103.71</v>
      </c>
      <c r="F52" s="59">
        <v>42877</v>
      </c>
      <c r="G52" s="60"/>
      <c r="H52" s="83">
        <v>42880</v>
      </c>
      <c r="I52" s="60">
        <f t="shared" si="56"/>
        <v>42907</v>
      </c>
      <c r="J52" s="61">
        <f t="shared" si="57"/>
        <v>42937</v>
      </c>
      <c r="K52" s="56">
        <f t="shared" si="58"/>
        <v>-27</v>
      </c>
      <c r="L52" s="62">
        <f t="shared" si="59"/>
        <v>-380800.17</v>
      </c>
      <c r="M52" s="63" t="str">
        <f t="shared" si="60"/>
        <v>S</v>
      </c>
      <c r="N52" s="62">
        <f t="shared" si="61"/>
        <v>14103.71</v>
      </c>
      <c r="O52" s="62" t="str">
        <f t="shared" si="62"/>
        <v xml:space="preserve"> </v>
      </c>
    </row>
    <row r="53" spans="1:15" s="70" customFormat="1" x14ac:dyDescent="0.25">
      <c r="A53" s="68">
        <v>10</v>
      </c>
      <c r="B53" s="20" t="s">
        <v>120</v>
      </c>
      <c r="C53" s="74"/>
      <c r="D53" s="58"/>
      <c r="E53" s="82">
        <v>907.5</v>
      </c>
      <c r="F53" s="59">
        <v>42880</v>
      </c>
      <c r="G53" s="59"/>
      <c r="H53" s="83">
        <v>42880</v>
      </c>
      <c r="I53" s="60">
        <f t="shared" si="56"/>
        <v>42910</v>
      </c>
      <c r="J53" s="61">
        <f t="shared" si="57"/>
        <v>42940</v>
      </c>
      <c r="K53" s="56">
        <f t="shared" si="58"/>
        <v>-30</v>
      </c>
      <c r="L53" s="62">
        <f t="shared" si="59"/>
        <v>-27225</v>
      </c>
      <c r="M53" s="63" t="str">
        <f t="shared" si="60"/>
        <v>S</v>
      </c>
      <c r="N53" s="62">
        <f t="shared" si="61"/>
        <v>907.5</v>
      </c>
      <c r="O53" s="62" t="str">
        <f t="shared" si="62"/>
        <v xml:space="preserve"> </v>
      </c>
    </row>
    <row r="54" spans="1:15" s="70" customFormat="1" x14ac:dyDescent="0.25">
      <c r="A54" s="68">
        <v>11</v>
      </c>
      <c r="B54" s="87" t="s">
        <v>121</v>
      </c>
      <c r="C54" s="74" t="s">
        <v>131</v>
      </c>
      <c r="D54" s="58"/>
      <c r="E54" s="82">
        <v>181.5</v>
      </c>
      <c r="F54" s="59">
        <v>42866</v>
      </c>
      <c r="G54" s="59"/>
      <c r="H54" s="83">
        <v>42884</v>
      </c>
      <c r="I54" s="60">
        <f t="shared" si="56"/>
        <v>42896</v>
      </c>
      <c r="J54" s="61">
        <f t="shared" si="57"/>
        <v>42926</v>
      </c>
      <c r="K54" s="56">
        <f t="shared" si="58"/>
        <v>-12</v>
      </c>
      <c r="L54" s="62">
        <f t="shared" si="59"/>
        <v>-2178</v>
      </c>
      <c r="M54" s="63" t="str">
        <f t="shared" si="60"/>
        <v>S</v>
      </c>
      <c r="N54" s="62">
        <f t="shared" si="61"/>
        <v>181.5</v>
      </c>
      <c r="O54" s="62" t="str">
        <f t="shared" si="62"/>
        <v xml:space="preserve"> </v>
      </c>
    </row>
    <row r="55" spans="1:15" s="70" customFormat="1" x14ac:dyDescent="0.25">
      <c r="A55" s="68">
        <v>12</v>
      </c>
      <c r="B55" s="87" t="s">
        <v>122</v>
      </c>
      <c r="C55" s="74" t="s">
        <v>132</v>
      </c>
      <c r="D55" s="58"/>
      <c r="E55" s="82">
        <v>181.5</v>
      </c>
      <c r="F55" s="59">
        <v>42866</v>
      </c>
      <c r="G55" s="59"/>
      <c r="H55" s="83">
        <v>42884</v>
      </c>
      <c r="I55" s="60">
        <f>IF(G55&lt;&gt;0,G55+30,F55+30)</f>
        <v>42896</v>
      </c>
      <c r="J55" s="61">
        <f t="shared" ref="J55" si="63">+I55+30</f>
        <v>42926</v>
      </c>
      <c r="K55" s="56">
        <f>IF((H55-I55)&lt;-30,-30,(H55-I55))</f>
        <v>-12</v>
      </c>
      <c r="L55" s="62">
        <f>ROUND(E55*K55,2)</f>
        <v>-2178</v>
      </c>
      <c r="M55" s="63" t="str">
        <f t="shared" ref="M55" si="64">IF(K55&lt;=30,"S","N")</f>
        <v>S</v>
      </c>
      <c r="N55" s="62">
        <f>IF(K55&lt;=30,E55," ")</f>
        <v>181.5</v>
      </c>
      <c r="O55" s="62" t="str">
        <f t="shared" ref="O55" si="65">IF(K55&gt;30,E55," ")</f>
        <v xml:space="preserve"> </v>
      </c>
    </row>
    <row r="56" spans="1:15" x14ac:dyDescent="0.25">
      <c r="C56" s="113" t="s">
        <v>133</v>
      </c>
      <c r="D56" s="43"/>
      <c r="E56" s="44">
        <f>SUM(E44:E55)</f>
        <v>44349.27</v>
      </c>
      <c r="F56" s="160"/>
      <c r="G56" s="119"/>
      <c r="H56" s="118"/>
      <c r="I56" s="120"/>
      <c r="J56" s="114"/>
      <c r="K56" s="45">
        <f>SUM(K44:K55)</f>
        <v>-292</v>
      </c>
      <c r="L56" s="46">
        <f>SUM(L44:L55)</f>
        <v>-1208774.68</v>
      </c>
      <c r="M56" s="115"/>
      <c r="N56" s="46">
        <f>SUM(N44:N55)</f>
        <v>44349.27</v>
      </c>
      <c r="O56" s="46">
        <f>SUM(O44:O55)</f>
        <v>0</v>
      </c>
    </row>
    <row r="57" spans="1:15" x14ac:dyDescent="0.25">
      <c r="A57" s="29">
        <v>1</v>
      </c>
      <c r="B57" s="20" t="s">
        <v>79</v>
      </c>
      <c r="C57" s="74" t="s">
        <v>143</v>
      </c>
      <c r="D57" s="58"/>
      <c r="E57" s="82">
        <v>26.93</v>
      </c>
      <c r="F57" s="59">
        <v>42888</v>
      </c>
      <c r="G57" s="59"/>
      <c r="H57" s="83">
        <v>42892</v>
      </c>
      <c r="I57" s="51">
        <f>IF(G57&lt;&gt;0,G57+30,F57+30)</f>
        <v>42918</v>
      </c>
      <c r="J57" s="52">
        <f>+I57+30</f>
        <v>42948</v>
      </c>
      <c r="K57" s="56">
        <f>IF((H57-I57)&lt;-30,-30,(H57-I57))</f>
        <v>-26</v>
      </c>
      <c r="L57" s="62">
        <f>ROUND(E57*K57,2)</f>
        <v>-700.18</v>
      </c>
      <c r="M57" s="63" t="str">
        <f t="shared" ref="M57" si="66">IF(K57&lt;=30,"S","N")</f>
        <v>S</v>
      </c>
      <c r="N57" s="62">
        <f>IF(K57&lt;=30,E57," ")</f>
        <v>26.93</v>
      </c>
      <c r="O57" s="62" t="str">
        <f t="shared" ref="O57" si="67">IF(K57&gt;30,E57," ")</f>
        <v xml:space="preserve"> </v>
      </c>
    </row>
    <row r="58" spans="1:15" x14ac:dyDescent="0.25">
      <c r="A58" s="29">
        <v>2</v>
      </c>
      <c r="B58" s="20" t="s">
        <v>147</v>
      </c>
      <c r="C58" s="74" t="s">
        <v>144</v>
      </c>
      <c r="D58" s="58"/>
      <c r="E58" s="82">
        <v>314.60000000000002</v>
      </c>
      <c r="F58" s="59">
        <v>42891</v>
      </c>
      <c r="G58" s="59"/>
      <c r="H58" s="83">
        <v>42900</v>
      </c>
      <c r="I58" s="51">
        <f t="shared" ref="I58:I62" si="68">IF(G58&lt;&gt;0,G58+30,F58+30)</f>
        <v>42921</v>
      </c>
      <c r="J58" s="52">
        <f t="shared" ref="J58" si="69">+I58+30</f>
        <v>42951</v>
      </c>
      <c r="K58" s="56">
        <f t="shared" ref="K58:K59" si="70">IF((H58-I58)&lt;-30,-30,(H58-I58))</f>
        <v>-21</v>
      </c>
      <c r="L58" s="62">
        <f t="shared" ref="L58:L59" si="71">ROUND(E58*K58,2)</f>
        <v>-6606.6</v>
      </c>
      <c r="M58" s="63" t="str">
        <f t="shared" ref="M58:M61" si="72">IF(K58&lt;=30,"S","N")</f>
        <v>S</v>
      </c>
      <c r="N58" s="62">
        <f t="shared" ref="N58:N61" si="73">IF(K58&lt;=30,E58," ")</f>
        <v>314.60000000000002</v>
      </c>
      <c r="O58" s="62" t="str">
        <f t="shared" ref="O58:O61" si="74">IF(K58&gt;30,E58," ")</f>
        <v xml:space="preserve"> </v>
      </c>
    </row>
    <row r="59" spans="1:15" x14ac:dyDescent="0.25">
      <c r="A59" s="29">
        <v>3</v>
      </c>
      <c r="B59" s="20" t="s">
        <v>158</v>
      </c>
      <c r="C59" s="74" t="s">
        <v>145</v>
      </c>
      <c r="D59" s="58"/>
      <c r="E59" s="82">
        <v>181.5</v>
      </c>
      <c r="F59" s="59">
        <v>42898</v>
      </c>
      <c r="G59" s="59"/>
      <c r="H59" s="83">
        <v>42900</v>
      </c>
      <c r="I59" s="51">
        <f>IF(G59&lt;&gt;0,G59+30,F59+30)</f>
        <v>42928</v>
      </c>
      <c r="J59" s="52">
        <f>+I59+30</f>
        <v>42958</v>
      </c>
      <c r="K59" s="56">
        <f t="shared" si="70"/>
        <v>-28</v>
      </c>
      <c r="L59" s="62">
        <f t="shared" si="71"/>
        <v>-5082</v>
      </c>
      <c r="M59" s="63" t="str">
        <f t="shared" si="72"/>
        <v>S</v>
      </c>
      <c r="N59" s="62">
        <f t="shared" si="73"/>
        <v>181.5</v>
      </c>
      <c r="O59" s="62" t="str">
        <f t="shared" si="74"/>
        <v xml:space="preserve"> </v>
      </c>
    </row>
    <row r="60" spans="1:15" x14ac:dyDescent="0.25">
      <c r="A60" s="29">
        <v>4</v>
      </c>
      <c r="B60" s="20" t="s">
        <v>142</v>
      </c>
      <c r="C60" s="74" t="s">
        <v>146</v>
      </c>
      <c r="D60" s="58"/>
      <c r="E60" s="82">
        <v>146.53</v>
      </c>
      <c r="F60" s="59">
        <v>42899</v>
      </c>
      <c r="G60" s="59"/>
      <c r="H60" s="83">
        <v>42900</v>
      </c>
      <c r="I60" s="60">
        <f t="shared" si="68"/>
        <v>42929</v>
      </c>
      <c r="J60" s="61">
        <f>+I60+30</f>
        <v>42959</v>
      </c>
      <c r="K60" s="56">
        <f>IF((H60-I60)&lt;-30,-30,(H60-I60))</f>
        <v>-29</v>
      </c>
      <c r="L60" s="62">
        <f>ROUND(E60*K60,2)</f>
        <v>-4249.37</v>
      </c>
      <c r="M60" s="63" t="str">
        <f t="shared" si="72"/>
        <v>S</v>
      </c>
      <c r="N60" s="62">
        <f t="shared" si="73"/>
        <v>146.53</v>
      </c>
      <c r="O60" s="62" t="str">
        <f t="shared" si="74"/>
        <v xml:space="preserve"> </v>
      </c>
    </row>
    <row r="61" spans="1:15" x14ac:dyDescent="0.25">
      <c r="A61" s="29">
        <v>5</v>
      </c>
      <c r="B61" s="20" t="s">
        <v>149</v>
      </c>
      <c r="C61" s="74" t="s">
        <v>150</v>
      </c>
      <c r="D61" s="58"/>
      <c r="E61" s="82">
        <v>1815</v>
      </c>
      <c r="F61" s="59">
        <v>42901</v>
      </c>
      <c r="G61" s="59"/>
      <c r="H61" s="83">
        <v>42915</v>
      </c>
      <c r="I61" s="60">
        <f t="shared" si="68"/>
        <v>42931</v>
      </c>
      <c r="J61" s="61">
        <f>+I61+30</f>
        <v>42961</v>
      </c>
      <c r="K61" s="56">
        <f>IF((H61-I61)&lt;-30,-30,(H61-I61))</f>
        <v>-16</v>
      </c>
      <c r="L61" s="62">
        <f>ROUND(E61*K61,2)</f>
        <v>-29040</v>
      </c>
      <c r="M61" s="63" t="str">
        <f t="shared" si="72"/>
        <v>S</v>
      </c>
      <c r="N61" s="62">
        <f t="shared" si="73"/>
        <v>1815</v>
      </c>
      <c r="O61" s="62" t="str">
        <f t="shared" si="74"/>
        <v xml:space="preserve"> </v>
      </c>
    </row>
    <row r="62" spans="1:15" x14ac:dyDescent="0.25">
      <c r="A62" s="29">
        <v>6</v>
      </c>
      <c r="B62" s="20" t="s">
        <v>151</v>
      </c>
      <c r="C62" s="74" t="s">
        <v>152</v>
      </c>
      <c r="D62" s="58"/>
      <c r="E62" s="82">
        <v>133.78</v>
      </c>
      <c r="F62" s="59">
        <v>42913</v>
      </c>
      <c r="G62" s="59"/>
      <c r="H62" s="83">
        <v>42915</v>
      </c>
      <c r="I62" s="60">
        <f t="shared" si="68"/>
        <v>42943</v>
      </c>
      <c r="J62" s="61">
        <f>+I62+30</f>
        <v>42973</v>
      </c>
      <c r="K62" s="56">
        <f>IF((H62-I62)&lt;-30,-30,(H62-I62))</f>
        <v>-28</v>
      </c>
      <c r="L62" s="62">
        <f>ROUND(E62*K62,2)</f>
        <v>-3745.84</v>
      </c>
      <c r="M62" s="63" t="str">
        <f t="shared" ref="M62" si="75">IF(K62&lt;=30,"S","N")</f>
        <v>S</v>
      </c>
      <c r="N62" s="62">
        <f t="shared" ref="N62" si="76">IF(K62&lt;=30,E62," ")</f>
        <v>133.78</v>
      </c>
      <c r="O62" s="62" t="str">
        <f t="shared" ref="O62" si="77">IF(K62&gt;30,E62," ")</f>
        <v xml:space="preserve"> </v>
      </c>
    </row>
    <row r="63" spans="1:15" x14ac:dyDescent="0.25">
      <c r="B63" s="88"/>
      <c r="C63" s="113" t="s">
        <v>148</v>
      </c>
      <c r="D63" s="43"/>
      <c r="E63" s="44">
        <f>SUM(E57:E62)</f>
        <v>2618.34</v>
      </c>
      <c r="F63" s="160"/>
      <c r="G63" s="119"/>
      <c r="H63" s="118"/>
      <c r="I63" s="120"/>
      <c r="J63" s="114"/>
      <c r="K63" s="45">
        <f>SUM(K57:K62)</f>
        <v>-148</v>
      </c>
      <c r="L63" s="46">
        <f>SUM(L57:L62)</f>
        <v>-49423.990000000005</v>
      </c>
      <c r="M63" s="115"/>
      <c r="N63" s="46">
        <f>SUM(N57:N62)</f>
        <v>2618.34</v>
      </c>
      <c r="O63" s="46">
        <f>SUM(O49:O60)</f>
        <v>0</v>
      </c>
    </row>
    <row r="64" spans="1:15" x14ac:dyDescent="0.25">
      <c r="A64" s="29">
        <v>1</v>
      </c>
      <c r="B64" s="20" t="s">
        <v>154</v>
      </c>
      <c r="C64" s="74" t="s">
        <v>155</v>
      </c>
      <c r="D64" s="58"/>
      <c r="E64" s="82">
        <v>146.53</v>
      </c>
      <c r="F64" s="59">
        <v>42919</v>
      </c>
      <c r="G64" s="59"/>
      <c r="H64" s="83">
        <v>42921</v>
      </c>
      <c r="I64" s="51">
        <f>IF(G64&lt;&gt;0,G64+30,F64+30)</f>
        <v>42949</v>
      </c>
      <c r="J64" s="52">
        <f t="shared" ref="J64:J65" si="78">+I64+30</f>
        <v>42979</v>
      </c>
      <c r="K64" s="56">
        <f>IF((H64-I64)&lt;-30,-30,(H64-I64))</f>
        <v>-28</v>
      </c>
      <c r="L64" s="62">
        <f>ROUND(E64*K64,2)</f>
        <v>-4102.84</v>
      </c>
      <c r="M64" s="63" t="str">
        <f t="shared" ref="M64:M70" si="79">IF(K64&lt;=30,"S","N")</f>
        <v>S</v>
      </c>
      <c r="N64" s="62">
        <f>IF(K64&lt;=30,E64," ")</f>
        <v>146.53</v>
      </c>
      <c r="O64" s="62" t="str">
        <f t="shared" ref="O64:O70" si="80">IF(K64&gt;30,E64," ")</f>
        <v xml:space="preserve"> </v>
      </c>
    </row>
    <row r="65" spans="1:15" x14ac:dyDescent="0.25">
      <c r="A65" s="29">
        <v>2</v>
      </c>
      <c r="B65" s="20" t="s">
        <v>32</v>
      </c>
      <c r="C65" s="74"/>
      <c r="D65" s="58"/>
      <c r="E65" s="82">
        <v>18.510000000000002</v>
      </c>
      <c r="F65" s="59">
        <v>42947</v>
      </c>
      <c r="G65" s="59"/>
      <c r="H65" s="83">
        <v>42923</v>
      </c>
      <c r="I65" s="51">
        <f t="shared" ref="I65" si="81">IF(G65&lt;&gt;0,G65+30,F65+30)</f>
        <v>42977</v>
      </c>
      <c r="J65" s="52">
        <f t="shared" si="78"/>
        <v>43007</v>
      </c>
      <c r="K65" s="56">
        <f t="shared" ref="K65:K66" si="82">IF((H65-I65)&lt;-30,-30,(H65-I65))</f>
        <v>-30</v>
      </c>
      <c r="L65" s="62">
        <f t="shared" ref="L65:L66" si="83">ROUND(E65*K65,2)</f>
        <v>-555.29999999999995</v>
      </c>
      <c r="M65" s="63" t="str">
        <f t="shared" si="79"/>
        <v>S</v>
      </c>
      <c r="N65" s="62">
        <f t="shared" ref="N65:N70" si="84">IF(K65&lt;=30,E65," ")</f>
        <v>18.510000000000002</v>
      </c>
      <c r="O65" s="62" t="str">
        <f t="shared" si="80"/>
        <v xml:space="preserve"> </v>
      </c>
    </row>
    <row r="66" spans="1:15" x14ac:dyDescent="0.25">
      <c r="A66" s="29">
        <v>3</v>
      </c>
      <c r="B66" s="20" t="s">
        <v>156</v>
      </c>
      <c r="C66" s="74" t="s">
        <v>157</v>
      </c>
      <c r="D66" s="58"/>
      <c r="E66" s="82">
        <v>17.3</v>
      </c>
      <c r="F66" s="59">
        <v>42919</v>
      </c>
      <c r="G66" s="59"/>
      <c r="H66" s="83">
        <v>42927</v>
      </c>
      <c r="I66" s="51">
        <f>IF(G66&lt;&gt;0,G66+30,F66+30)</f>
        <v>42949</v>
      </c>
      <c r="J66" s="52">
        <f>+I66+30</f>
        <v>42979</v>
      </c>
      <c r="K66" s="56">
        <f t="shared" si="82"/>
        <v>-22</v>
      </c>
      <c r="L66" s="62">
        <f t="shared" si="83"/>
        <v>-380.6</v>
      </c>
      <c r="M66" s="63" t="str">
        <f t="shared" si="79"/>
        <v>S</v>
      </c>
      <c r="N66" s="62">
        <f t="shared" si="84"/>
        <v>17.3</v>
      </c>
      <c r="O66" s="62" t="str">
        <f t="shared" si="80"/>
        <v xml:space="preserve"> </v>
      </c>
    </row>
    <row r="67" spans="1:15" x14ac:dyDescent="0.25">
      <c r="A67" s="29">
        <v>4</v>
      </c>
      <c r="B67" s="20" t="s">
        <v>159</v>
      </c>
      <c r="C67" s="74"/>
      <c r="D67" s="58"/>
      <c r="E67" s="82">
        <v>181.5</v>
      </c>
      <c r="F67" s="59">
        <v>42919</v>
      </c>
      <c r="G67" s="59"/>
      <c r="H67" s="83">
        <v>42933</v>
      </c>
      <c r="I67" s="60">
        <f t="shared" ref="I67:I70" si="85">IF(G67&lt;&gt;0,G67+30,F67+30)</f>
        <v>42949</v>
      </c>
      <c r="J67" s="61">
        <f>+I67+30</f>
        <v>42979</v>
      </c>
      <c r="K67" s="56">
        <f>IF((H67-I67)&lt;-30,-30,(H67-I67))</f>
        <v>-16</v>
      </c>
      <c r="L67" s="62">
        <f>ROUND(E67*K67,2)</f>
        <v>-2904</v>
      </c>
      <c r="M67" s="63" t="str">
        <f t="shared" si="79"/>
        <v>S</v>
      </c>
      <c r="N67" s="62">
        <f t="shared" si="84"/>
        <v>181.5</v>
      </c>
      <c r="O67" s="62" t="str">
        <f t="shared" si="80"/>
        <v xml:space="preserve"> </v>
      </c>
    </row>
    <row r="68" spans="1:15" x14ac:dyDescent="0.25">
      <c r="A68" s="29">
        <v>5</v>
      </c>
      <c r="B68" s="20" t="s">
        <v>161</v>
      </c>
      <c r="C68" s="74" t="s">
        <v>160</v>
      </c>
      <c r="D68" s="58"/>
      <c r="E68" s="82">
        <v>314.60000000000002</v>
      </c>
      <c r="F68" s="59">
        <v>42920</v>
      </c>
      <c r="G68" s="59"/>
      <c r="H68" s="83">
        <v>42933</v>
      </c>
      <c r="I68" s="60">
        <f t="shared" si="85"/>
        <v>42950</v>
      </c>
      <c r="J68" s="61">
        <f>+I68+30</f>
        <v>42980</v>
      </c>
      <c r="K68" s="56">
        <f>IF((H68-I68)&lt;-30,-30,(H68-I68))</f>
        <v>-17</v>
      </c>
      <c r="L68" s="62">
        <f>ROUND(E68*K68,2)</f>
        <v>-5348.2</v>
      </c>
      <c r="M68" s="63" t="str">
        <f t="shared" si="79"/>
        <v>S</v>
      </c>
      <c r="N68" s="62">
        <f t="shared" si="84"/>
        <v>314.60000000000002</v>
      </c>
      <c r="O68" s="62" t="str">
        <f t="shared" si="80"/>
        <v xml:space="preserve"> </v>
      </c>
    </row>
    <row r="69" spans="1:15" x14ac:dyDescent="0.25">
      <c r="A69" s="29">
        <v>6</v>
      </c>
      <c r="B69" s="20" t="s">
        <v>154</v>
      </c>
      <c r="C69" s="74"/>
      <c r="D69" s="58"/>
      <c r="E69" s="82">
        <v>41.41</v>
      </c>
      <c r="F69" s="59">
        <v>42923</v>
      </c>
      <c r="G69" s="59"/>
      <c r="H69" s="83">
        <v>42933</v>
      </c>
      <c r="I69" s="60">
        <f t="shared" si="85"/>
        <v>42953</v>
      </c>
      <c r="J69" s="61">
        <f>+I69+30</f>
        <v>42983</v>
      </c>
      <c r="K69" s="56">
        <f>IF((H69-I69)&lt;-30,-30,(H69-I69))</f>
        <v>-20</v>
      </c>
      <c r="L69" s="62">
        <f>ROUND(E69*K69,2)</f>
        <v>-828.2</v>
      </c>
      <c r="M69" s="63" t="str">
        <f t="shared" si="79"/>
        <v>S</v>
      </c>
      <c r="N69" s="62">
        <f t="shared" si="84"/>
        <v>41.41</v>
      </c>
      <c r="O69" s="62" t="str">
        <f t="shared" si="80"/>
        <v xml:space="preserve"> </v>
      </c>
    </row>
    <row r="70" spans="1:15" x14ac:dyDescent="0.25">
      <c r="A70" s="29">
        <v>7</v>
      </c>
      <c r="B70" s="20" t="s">
        <v>154</v>
      </c>
      <c r="C70" s="74"/>
      <c r="D70" s="58"/>
      <c r="E70" s="82">
        <v>44.59</v>
      </c>
      <c r="F70" s="59">
        <v>42934</v>
      </c>
      <c r="G70" s="59"/>
      <c r="H70" s="83">
        <v>42942</v>
      </c>
      <c r="I70" s="60">
        <f t="shared" si="85"/>
        <v>42964</v>
      </c>
      <c r="J70" s="61">
        <f>+I70+30</f>
        <v>42994</v>
      </c>
      <c r="K70" s="56">
        <f>IF((H70-I70)&lt;-30,-30,(H70-I70))</f>
        <v>-22</v>
      </c>
      <c r="L70" s="62">
        <f>ROUND(E70*K70,2)</f>
        <v>-980.98</v>
      </c>
      <c r="M70" s="63" t="str">
        <f t="shared" si="79"/>
        <v>S</v>
      </c>
      <c r="N70" s="62">
        <f t="shared" si="84"/>
        <v>44.59</v>
      </c>
      <c r="O70" s="62" t="str">
        <f t="shared" si="80"/>
        <v xml:space="preserve"> </v>
      </c>
    </row>
    <row r="71" spans="1:15" x14ac:dyDescent="0.25">
      <c r="B71" s="88"/>
      <c r="C71" s="174" t="s">
        <v>153</v>
      </c>
      <c r="D71" s="47"/>
      <c r="E71" s="48">
        <f>SUM(E64:E70)</f>
        <v>764.44</v>
      </c>
      <c r="F71" s="161"/>
      <c r="G71" s="124"/>
      <c r="H71" s="123"/>
      <c r="I71" s="125"/>
      <c r="J71" s="126"/>
      <c r="K71" s="45">
        <f>SUM(K64:K70)</f>
        <v>-155</v>
      </c>
      <c r="L71" s="46">
        <f>SUM(L64:L70)</f>
        <v>-15100.12</v>
      </c>
      <c r="M71" s="115"/>
      <c r="N71" s="46">
        <f>SUM(N64:N70)</f>
        <v>764.44</v>
      </c>
      <c r="O71" s="46">
        <f>SUM(O56:O70)</f>
        <v>0</v>
      </c>
    </row>
    <row r="72" spans="1:15" x14ac:dyDescent="0.25">
      <c r="A72" s="29">
        <v>1</v>
      </c>
      <c r="B72" s="203" t="s">
        <v>171</v>
      </c>
      <c r="C72" s="204" t="s">
        <v>179</v>
      </c>
      <c r="D72" s="58"/>
      <c r="E72" s="205">
        <v>26.93</v>
      </c>
      <c r="F72" s="194">
        <v>42971</v>
      </c>
      <c r="G72" s="59"/>
      <c r="H72" s="195">
        <v>42951</v>
      </c>
      <c r="I72" s="60">
        <f t="shared" ref="I72:I79" si="86">IF(G72&lt;&gt;0,G72+30,F72+30)</f>
        <v>43001</v>
      </c>
      <c r="J72" s="61">
        <f t="shared" ref="J72:J79" si="87">+I72+30</f>
        <v>43031</v>
      </c>
      <c r="K72" s="173">
        <f t="shared" ref="K72:K79" si="88">IF((H72-I72)&lt;-30,-30,(H72-I72))</f>
        <v>-30</v>
      </c>
      <c r="L72" s="62">
        <f t="shared" ref="L72:L79" si="89">ROUND(E72*K72,2)</f>
        <v>-807.9</v>
      </c>
      <c r="M72" s="63" t="str">
        <f t="shared" ref="M72:M79" si="90">IF(K72&lt;=30,"S","N")</f>
        <v>S</v>
      </c>
      <c r="N72" s="62">
        <f t="shared" ref="N72:N79" si="91">IF(K72&lt;=30,E72," ")</f>
        <v>26.93</v>
      </c>
      <c r="O72" s="62" t="str">
        <f t="shared" ref="O72:O79" si="92">IF(K72&gt;30,E72," ")</f>
        <v xml:space="preserve"> </v>
      </c>
    </row>
    <row r="73" spans="1:15" x14ac:dyDescent="0.25">
      <c r="A73" s="29">
        <v>2</v>
      </c>
      <c r="B73" s="200" t="s">
        <v>172</v>
      </c>
      <c r="C73" s="204" t="s">
        <v>180</v>
      </c>
      <c r="D73" s="58"/>
      <c r="E73" s="205">
        <v>11730.27</v>
      </c>
      <c r="F73" s="194">
        <v>42948</v>
      </c>
      <c r="G73" s="59"/>
      <c r="H73" s="195">
        <v>42971</v>
      </c>
      <c r="I73" s="60">
        <f t="shared" si="86"/>
        <v>42978</v>
      </c>
      <c r="J73" s="61">
        <f t="shared" si="87"/>
        <v>43008</v>
      </c>
      <c r="K73" s="173">
        <f t="shared" si="88"/>
        <v>-7</v>
      </c>
      <c r="L73" s="62">
        <f t="shared" si="89"/>
        <v>-82111.89</v>
      </c>
      <c r="M73" s="63" t="str">
        <f t="shared" si="90"/>
        <v>S</v>
      </c>
      <c r="N73" s="62">
        <f t="shared" si="91"/>
        <v>11730.27</v>
      </c>
      <c r="O73" s="62" t="str">
        <f t="shared" si="92"/>
        <v xml:space="preserve"> </v>
      </c>
    </row>
    <row r="74" spans="1:15" x14ac:dyDescent="0.25">
      <c r="A74" s="29">
        <v>3</v>
      </c>
      <c r="B74" s="203" t="s">
        <v>173</v>
      </c>
      <c r="C74" s="204" t="s">
        <v>181</v>
      </c>
      <c r="D74" s="58"/>
      <c r="E74" s="205">
        <v>122.63</v>
      </c>
      <c r="F74" s="194">
        <v>42949</v>
      </c>
      <c r="G74" s="59"/>
      <c r="H74" s="195">
        <v>42971</v>
      </c>
      <c r="I74" s="60">
        <f t="shared" si="86"/>
        <v>42979</v>
      </c>
      <c r="J74" s="61">
        <f t="shared" si="87"/>
        <v>43009</v>
      </c>
      <c r="K74" s="173">
        <f t="shared" si="88"/>
        <v>-8</v>
      </c>
      <c r="L74" s="62">
        <f t="shared" si="89"/>
        <v>-981.04</v>
      </c>
      <c r="M74" s="63" t="str">
        <f t="shared" si="90"/>
        <v>S</v>
      </c>
      <c r="N74" s="62">
        <f t="shared" si="91"/>
        <v>122.63</v>
      </c>
      <c r="O74" s="62" t="str">
        <f t="shared" si="92"/>
        <v xml:space="preserve"> </v>
      </c>
    </row>
    <row r="75" spans="1:15" x14ac:dyDescent="0.25">
      <c r="A75" s="29">
        <v>4</v>
      </c>
      <c r="B75" s="203" t="s">
        <v>174</v>
      </c>
      <c r="C75" s="204" t="s">
        <v>182</v>
      </c>
      <c r="D75" s="58"/>
      <c r="E75" s="205">
        <v>314.60000000000002</v>
      </c>
      <c r="F75" s="194">
        <v>42949</v>
      </c>
      <c r="G75" s="59"/>
      <c r="H75" s="195">
        <v>42971</v>
      </c>
      <c r="I75" s="60">
        <f t="shared" si="86"/>
        <v>42979</v>
      </c>
      <c r="J75" s="61">
        <f t="shared" si="87"/>
        <v>43009</v>
      </c>
      <c r="K75" s="173">
        <f t="shared" si="88"/>
        <v>-8</v>
      </c>
      <c r="L75" s="62">
        <f t="shared" si="89"/>
        <v>-2516.8000000000002</v>
      </c>
      <c r="M75" s="63" t="str">
        <f t="shared" si="90"/>
        <v>S</v>
      </c>
      <c r="N75" s="62">
        <f t="shared" si="91"/>
        <v>314.60000000000002</v>
      </c>
      <c r="O75" s="62" t="str">
        <f t="shared" si="92"/>
        <v xml:space="preserve"> </v>
      </c>
    </row>
    <row r="76" spans="1:15" x14ac:dyDescent="0.25">
      <c r="A76" s="29">
        <v>5</v>
      </c>
      <c r="B76" s="203" t="s">
        <v>175</v>
      </c>
      <c r="C76" s="204" t="s">
        <v>183</v>
      </c>
      <c r="D76" s="58"/>
      <c r="E76" s="205">
        <v>15.43</v>
      </c>
      <c r="F76" s="194">
        <v>42965</v>
      </c>
      <c r="G76" s="59"/>
      <c r="H76" s="195">
        <v>42971</v>
      </c>
      <c r="I76" s="60">
        <f t="shared" si="86"/>
        <v>42995</v>
      </c>
      <c r="J76" s="61">
        <f t="shared" si="87"/>
        <v>43025</v>
      </c>
      <c r="K76" s="173">
        <f t="shared" si="88"/>
        <v>-24</v>
      </c>
      <c r="L76" s="62">
        <f t="shared" si="89"/>
        <v>-370.32</v>
      </c>
      <c r="M76" s="63" t="str">
        <f t="shared" si="90"/>
        <v>S</v>
      </c>
      <c r="N76" s="62">
        <f t="shared" si="91"/>
        <v>15.43</v>
      </c>
      <c r="O76" s="62" t="str">
        <f t="shared" si="92"/>
        <v xml:space="preserve"> </v>
      </c>
    </row>
    <row r="77" spans="1:15" x14ac:dyDescent="0.25">
      <c r="A77" s="29">
        <v>6</v>
      </c>
      <c r="B77" s="203" t="s">
        <v>176</v>
      </c>
      <c r="C77" s="204" t="s">
        <v>184</v>
      </c>
      <c r="D77" s="58"/>
      <c r="E77" s="205">
        <v>67.010000000000005</v>
      </c>
      <c r="F77" s="194">
        <v>42957</v>
      </c>
      <c r="G77" s="59"/>
      <c r="H77" s="195">
        <v>42971</v>
      </c>
      <c r="I77" s="60">
        <f t="shared" si="86"/>
        <v>42987</v>
      </c>
      <c r="J77" s="61">
        <f t="shared" si="87"/>
        <v>43017</v>
      </c>
      <c r="K77" s="173">
        <f t="shared" si="88"/>
        <v>-16</v>
      </c>
      <c r="L77" s="62">
        <f t="shared" si="89"/>
        <v>-1072.1600000000001</v>
      </c>
      <c r="M77" s="63" t="str">
        <f t="shared" si="90"/>
        <v>S</v>
      </c>
      <c r="N77" s="62">
        <f t="shared" si="91"/>
        <v>67.010000000000005</v>
      </c>
      <c r="O77" s="62" t="str">
        <f t="shared" si="92"/>
        <v xml:space="preserve"> </v>
      </c>
    </row>
    <row r="78" spans="1:15" x14ac:dyDescent="0.25">
      <c r="A78" s="29">
        <v>7</v>
      </c>
      <c r="B78" s="203" t="s">
        <v>177</v>
      </c>
      <c r="C78" s="204" t="s">
        <v>185</v>
      </c>
      <c r="D78" s="58"/>
      <c r="E78" s="205">
        <v>181.5</v>
      </c>
      <c r="F78" s="194">
        <v>42943</v>
      </c>
      <c r="G78" s="59"/>
      <c r="H78" s="195">
        <v>42971</v>
      </c>
      <c r="I78" s="60">
        <f t="shared" si="86"/>
        <v>42973</v>
      </c>
      <c r="J78" s="61">
        <f t="shared" si="87"/>
        <v>43003</v>
      </c>
      <c r="K78" s="173">
        <f t="shared" si="88"/>
        <v>-2</v>
      </c>
      <c r="L78" s="62">
        <f t="shared" si="89"/>
        <v>-363</v>
      </c>
      <c r="M78" s="63" t="str">
        <f t="shared" si="90"/>
        <v>S</v>
      </c>
      <c r="N78" s="62">
        <f t="shared" si="91"/>
        <v>181.5</v>
      </c>
      <c r="O78" s="62" t="str">
        <f t="shared" si="92"/>
        <v xml:space="preserve"> </v>
      </c>
    </row>
    <row r="79" spans="1:15" x14ac:dyDescent="0.25">
      <c r="A79" s="29">
        <v>8</v>
      </c>
      <c r="B79" s="201" t="s">
        <v>178</v>
      </c>
      <c r="C79" s="206" t="s">
        <v>186</v>
      </c>
      <c r="D79" s="186"/>
      <c r="E79" s="207">
        <v>103.82</v>
      </c>
      <c r="F79" s="198">
        <v>42950</v>
      </c>
      <c r="G79" s="187"/>
      <c r="H79" s="199">
        <v>42977</v>
      </c>
      <c r="I79" s="188">
        <f t="shared" si="86"/>
        <v>42980</v>
      </c>
      <c r="J79" s="189">
        <f t="shared" si="87"/>
        <v>43010</v>
      </c>
      <c r="K79" s="173">
        <f t="shared" si="88"/>
        <v>-3</v>
      </c>
      <c r="L79" s="62">
        <f t="shared" si="89"/>
        <v>-311.45999999999998</v>
      </c>
      <c r="M79" s="63" t="str">
        <f t="shared" si="90"/>
        <v>S</v>
      </c>
      <c r="N79" s="62">
        <f t="shared" si="91"/>
        <v>103.82</v>
      </c>
      <c r="O79" s="62" t="str">
        <f t="shared" si="92"/>
        <v xml:space="preserve"> </v>
      </c>
    </row>
    <row r="80" spans="1:15" x14ac:dyDescent="0.25">
      <c r="A80" s="64"/>
      <c r="B80" s="88"/>
      <c r="C80" s="208" t="s">
        <v>170</v>
      </c>
      <c r="D80" s="66"/>
      <c r="E80" s="39">
        <f>SUM(E72:E79)</f>
        <v>12562.19</v>
      </c>
      <c r="F80" s="159"/>
      <c r="G80" s="116"/>
      <c r="H80" s="89"/>
      <c r="I80" s="179"/>
      <c r="J80" s="180"/>
      <c r="K80" s="45">
        <f>SUM(K72:K79)</f>
        <v>-98</v>
      </c>
      <c r="L80" s="46">
        <f>SUM(L72:L79)</f>
        <v>-88534.57</v>
      </c>
      <c r="M80" s="115"/>
      <c r="N80" s="46">
        <f>SUM(N72:N79)</f>
        <v>12562.19</v>
      </c>
      <c r="O80" s="46">
        <f>SUM(O64:O79)</f>
        <v>0</v>
      </c>
    </row>
    <row r="81" spans="1:15" x14ac:dyDescent="0.25">
      <c r="A81" s="64">
        <v>1</v>
      </c>
      <c r="B81" s="203" t="s">
        <v>32</v>
      </c>
      <c r="C81" s="212" t="s">
        <v>193</v>
      </c>
      <c r="D81" s="181"/>
      <c r="E81" s="182">
        <v>26.93</v>
      </c>
      <c r="F81" s="211">
        <v>42992</v>
      </c>
      <c r="G81" s="183"/>
      <c r="H81" s="183">
        <v>42984</v>
      </c>
      <c r="I81" s="184">
        <f>IF(G81&lt;&gt;0,G81+30,F81+30)</f>
        <v>43022</v>
      </c>
      <c r="J81" s="185">
        <f t="shared" ref="J81:J82" si="93">+I81+30</f>
        <v>43052</v>
      </c>
      <c r="K81" s="173">
        <f>IF((H81-I81)&lt;-30,-30,(H81-I81))</f>
        <v>-30</v>
      </c>
      <c r="L81" s="62">
        <f>ROUND(E81*K81,2)</f>
        <v>-807.9</v>
      </c>
      <c r="M81" s="63" t="str">
        <f t="shared" ref="M81:M87" si="94">IF(K81&lt;=30,"S","N")</f>
        <v>S</v>
      </c>
      <c r="N81" s="62">
        <f>IF(K81&lt;=30,E81," ")</f>
        <v>26.93</v>
      </c>
      <c r="O81" s="62" t="str">
        <f t="shared" ref="O81:O87" si="95">IF(K81&gt;30,E81," ")</f>
        <v xml:space="preserve"> </v>
      </c>
    </row>
    <row r="82" spans="1:15" x14ac:dyDescent="0.25">
      <c r="A82" s="64">
        <v>2</v>
      </c>
      <c r="B82" s="213" t="s">
        <v>194</v>
      </c>
      <c r="C82" s="214" t="s">
        <v>195</v>
      </c>
      <c r="D82" s="58"/>
      <c r="E82" s="82">
        <v>67.010000000000005</v>
      </c>
      <c r="F82" s="210">
        <v>42991</v>
      </c>
      <c r="G82" s="59"/>
      <c r="H82" s="83">
        <v>43006</v>
      </c>
      <c r="I82" s="51">
        <f t="shared" ref="I82" si="96">IF(G82&lt;&gt;0,G82+30,F82+30)</f>
        <v>43021</v>
      </c>
      <c r="J82" s="52">
        <f t="shared" si="93"/>
        <v>43051</v>
      </c>
      <c r="K82" s="173">
        <f t="shared" ref="K82:K83" si="97">IF((H82-I82)&lt;-30,-30,(H82-I82))</f>
        <v>-15</v>
      </c>
      <c r="L82" s="62">
        <f t="shared" ref="L82:L83" si="98">ROUND(E82*K82,2)</f>
        <v>-1005.15</v>
      </c>
      <c r="M82" s="63" t="str">
        <f t="shared" si="94"/>
        <v>S</v>
      </c>
      <c r="N82" s="62">
        <f t="shared" ref="N82:N87" si="99">IF(K82&lt;=30,E82," ")</f>
        <v>67.010000000000005</v>
      </c>
      <c r="O82" s="62" t="str">
        <f t="shared" si="95"/>
        <v xml:space="preserve"> </v>
      </c>
    </row>
    <row r="83" spans="1:15" x14ac:dyDescent="0.25">
      <c r="A83" s="64">
        <v>3</v>
      </c>
      <c r="B83" s="215" t="s">
        <v>196</v>
      </c>
      <c r="C83" s="216" t="s">
        <v>197</v>
      </c>
      <c r="D83" s="58"/>
      <c r="E83" s="202">
        <v>314.60000000000002</v>
      </c>
      <c r="F83" s="169">
        <v>42992</v>
      </c>
      <c r="G83" s="59"/>
      <c r="H83" s="83">
        <v>43006</v>
      </c>
      <c r="I83" s="51">
        <f>IF(G83&lt;&gt;0,G83+30,F83+30)</f>
        <v>43022</v>
      </c>
      <c r="J83" s="52">
        <f>+I83+30</f>
        <v>43052</v>
      </c>
      <c r="K83" s="173">
        <f t="shared" si="97"/>
        <v>-16</v>
      </c>
      <c r="L83" s="62">
        <f t="shared" si="98"/>
        <v>-5033.6000000000004</v>
      </c>
      <c r="M83" s="63" t="str">
        <f t="shared" si="94"/>
        <v>S</v>
      </c>
      <c r="N83" s="62">
        <f t="shared" si="99"/>
        <v>314.60000000000002</v>
      </c>
      <c r="O83" s="62" t="str">
        <f t="shared" si="95"/>
        <v xml:space="preserve"> </v>
      </c>
    </row>
    <row r="84" spans="1:15" x14ac:dyDescent="0.25">
      <c r="A84" s="64">
        <v>4</v>
      </c>
      <c r="B84" s="215" t="s">
        <v>198</v>
      </c>
      <c r="C84" s="216" t="s">
        <v>199</v>
      </c>
      <c r="D84" s="58"/>
      <c r="E84" s="202">
        <v>181.5</v>
      </c>
      <c r="F84" s="169">
        <v>42992</v>
      </c>
      <c r="G84" s="59"/>
      <c r="H84" s="83">
        <v>43006</v>
      </c>
      <c r="I84" s="60">
        <f t="shared" ref="I84:I87" si="100">IF(G84&lt;&gt;0,G84+30,F84+30)</f>
        <v>43022</v>
      </c>
      <c r="J84" s="61">
        <f>+I84+30</f>
        <v>43052</v>
      </c>
      <c r="K84" s="173">
        <f>IF((H84-I84)&lt;-30,-30,(H84-I84))</f>
        <v>-16</v>
      </c>
      <c r="L84" s="62">
        <f>ROUND(E84*K84,2)</f>
        <v>-2904</v>
      </c>
      <c r="M84" s="63" t="str">
        <f t="shared" si="94"/>
        <v>S</v>
      </c>
      <c r="N84" s="62">
        <f t="shared" si="99"/>
        <v>181.5</v>
      </c>
      <c r="O84" s="62" t="str">
        <f t="shared" si="95"/>
        <v xml:space="preserve"> </v>
      </c>
    </row>
    <row r="85" spans="1:15" x14ac:dyDescent="0.25">
      <c r="A85" s="64">
        <v>5</v>
      </c>
      <c r="B85" s="217" t="s">
        <v>187</v>
      </c>
      <c r="C85" s="218" t="s">
        <v>190</v>
      </c>
      <c r="D85" s="66"/>
      <c r="E85" s="219">
        <v>433.24</v>
      </c>
      <c r="F85" s="196">
        <v>42943</v>
      </c>
      <c r="G85" s="59"/>
      <c r="H85" s="83">
        <v>43006</v>
      </c>
      <c r="I85" s="60">
        <f t="shared" si="100"/>
        <v>42973</v>
      </c>
      <c r="J85" s="61">
        <f>+I85+30</f>
        <v>43003</v>
      </c>
      <c r="K85" s="173">
        <f>IF((H85-I85)&lt;-30,-30,(H85-I85))</f>
        <v>33</v>
      </c>
      <c r="L85" s="62">
        <f>ROUND(E85*K85,2)</f>
        <v>14296.92</v>
      </c>
      <c r="M85" s="63" t="str">
        <f t="shared" si="94"/>
        <v>N</v>
      </c>
      <c r="N85" s="62" t="str">
        <f t="shared" si="99"/>
        <v xml:space="preserve"> </v>
      </c>
      <c r="O85" s="62">
        <f t="shared" si="95"/>
        <v>433.24</v>
      </c>
    </row>
    <row r="86" spans="1:15" x14ac:dyDescent="0.25">
      <c r="A86" s="64">
        <v>6</v>
      </c>
      <c r="B86" s="220" t="s">
        <v>188</v>
      </c>
      <c r="C86" s="218" t="s">
        <v>191</v>
      </c>
      <c r="D86" s="66"/>
      <c r="E86" s="219">
        <v>390.95</v>
      </c>
      <c r="F86" s="196">
        <v>42971</v>
      </c>
      <c r="G86" s="59"/>
      <c r="H86" s="83">
        <v>43006</v>
      </c>
      <c r="I86" s="60">
        <f t="shared" si="100"/>
        <v>43001</v>
      </c>
      <c r="J86" s="61">
        <f>+I86+30</f>
        <v>43031</v>
      </c>
      <c r="K86" s="173">
        <f>IF((H86-I86)&lt;-30,-30,(H86-I86))</f>
        <v>5</v>
      </c>
      <c r="L86" s="62">
        <f>ROUND(E86*K86,2)</f>
        <v>1954.75</v>
      </c>
      <c r="M86" s="63" t="str">
        <f t="shared" si="94"/>
        <v>S</v>
      </c>
      <c r="N86" s="62">
        <f t="shared" si="99"/>
        <v>390.95</v>
      </c>
      <c r="O86" s="62" t="str">
        <f t="shared" si="95"/>
        <v xml:space="preserve"> </v>
      </c>
    </row>
    <row r="87" spans="1:15" x14ac:dyDescent="0.25">
      <c r="A87" s="64">
        <v>7</v>
      </c>
      <c r="B87" s="220" t="s">
        <v>189</v>
      </c>
      <c r="C87" s="221" t="s">
        <v>192</v>
      </c>
      <c r="D87" s="222"/>
      <c r="E87" s="223">
        <v>244.7</v>
      </c>
      <c r="F87" s="197">
        <v>42971</v>
      </c>
      <c r="G87" s="187"/>
      <c r="H87" s="209">
        <v>43006</v>
      </c>
      <c r="I87" s="60">
        <f t="shared" si="100"/>
        <v>43001</v>
      </c>
      <c r="J87" s="61">
        <f t="shared" ref="J87" si="101">+I87+30</f>
        <v>43031</v>
      </c>
      <c r="K87" s="173">
        <f t="shared" ref="K87" si="102">IF((H87-I87)&lt;-30,-30,(H87-I87))</f>
        <v>5</v>
      </c>
      <c r="L87" s="62">
        <f t="shared" ref="L87" si="103">ROUND(E87*K87,2)</f>
        <v>1223.5</v>
      </c>
      <c r="M87" s="63" t="str">
        <f t="shared" si="94"/>
        <v>S</v>
      </c>
      <c r="N87" s="62">
        <f t="shared" si="99"/>
        <v>244.7</v>
      </c>
      <c r="O87" s="62" t="str">
        <f t="shared" si="95"/>
        <v xml:space="preserve"> </v>
      </c>
    </row>
    <row r="88" spans="1:15" x14ac:dyDescent="0.25">
      <c r="B88" s="88"/>
      <c r="C88" s="208" t="s">
        <v>200</v>
      </c>
      <c r="D88" s="38"/>
      <c r="E88" s="39">
        <f>SUM(E81:E87)</f>
        <v>1658.93</v>
      </c>
      <c r="F88" s="159"/>
      <c r="G88" s="116"/>
      <c r="H88" s="89"/>
      <c r="I88" s="120"/>
      <c r="J88" s="114"/>
      <c r="K88" s="45">
        <f>SUM(K81:K87)</f>
        <v>-34</v>
      </c>
      <c r="L88" s="46">
        <f>SUM(L81:L87)</f>
        <v>7724.5199999999986</v>
      </c>
      <c r="M88" s="115"/>
      <c r="N88" s="46">
        <f>SUM(N81:N87)</f>
        <v>1225.69</v>
      </c>
      <c r="O88" s="46">
        <f>SUM(O73:O87)</f>
        <v>433.24</v>
      </c>
    </row>
    <row r="89" spans="1:15" x14ac:dyDescent="0.25">
      <c r="A89" s="38">
        <v>1</v>
      </c>
      <c r="B89" s="201" t="s">
        <v>209</v>
      </c>
      <c r="C89" s="212" t="s">
        <v>218</v>
      </c>
      <c r="D89" s="229"/>
      <c r="E89" s="230">
        <v>20.81</v>
      </c>
      <c r="F89" s="168">
        <v>42992</v>
      </c>
      <c r="G89" s="183"/>
      <c r="H89" s="183">
        <v>43010</v>
      </c>
      <c r="I89" s="51">
        <f t="shared" ref="I89:I92" si="104">IF(G89&lt;&gt;0,G89+30,F89+30)</f>
        <v>43022</v>
      </c>
      <c r="J89" s="52">
        <f t="shared" ref="J89:J92" si="105">+I89+30</f>
        <v>43052</v>
      </c>
      <c r="K89" s="173">
        <f t="shared" ref="K89:K92" si="106">IF((H89-I89)&lt;-30,-30,(H89-I89))</f>
        <v>-12</v>
      </c>
      <c r="L89" s="62">
        <f t="shared" ref="L89:L92" si="107">ROUND(E89*K89,2)</f>
        <v>-249.72</v>
      </c>
      <c r="M89" s="63" t="str">
        <f t="shared" ref="M89:M92" si="108">IF(K89&lt;=30,"S","N")</f>
        <v>S</v>
      </c>
      <c r="N89" s="62">
        <f t="shared" ref="N89:N92" si="109">IF(K89&lt;=30,E89," ")</f>
        <v>20.81</v>
      </c>
      <c r="O89" s="62" t="str">
        <f t="shared" ref="O89:O92" si="110">IF(K89&gt;30,E89," ")</f>
        <v xml:space="preserve"> </v>
      </c>
    </row>
    <row r="90" spans="1:15" x14ac:dyDescent="0.25">
      <c r="A90" s="38">
        <v>2</v>
      </c>
      <c r="B90" s="201" t="s">
        <v>219</v>
      </c>
      <c r="C90" s="231" t="s">
        <v>222</v>
      </c>
      <c r="D90" s="66"/>
      <c r="E90" s="202">
        <v>26.93</v>
      </c>
      <c r="F90" s="169">
        <v>43012</v>
      </c>
      <c r="G90" s="59"/>
      <c r="H90" s="59">
        <v>43013</v>
      </c>
      <c r="I90" s="51">
        <f t="shared" si="104"/>
        <v>43042</v>
      </c>
      <c r="J90" s="52">
        <f t="shared" si="105"/>
        <v>43072</v>
      </c>
      <c r="K90" s="173">
        <f t="shared" si="106"/>
        <v>-29</v>
      </c>
      <c r="L90" s="62">
        <f t="shared" si="107"/>
        <v>-780.97</v>
      </c>
      <c r="M90" s="63" t="str">
        <f t="shared" si="108"/>
        <v>S</v>
      </c>
      <c r="N90" s="62">
        <f t="shared" si="109"/>
        <v>26.93</v>
      </c>
      <c r="O90" s="62" t="str">
        <f t="shared" si="110"/>
        <v xml:space="preserve"> </v>
      </c>
    </row>
    <row r="91" spans="1:15" x14ac:dyDescent="0.25">
      <c r="A91" s="38">
        <v>3</v>
      </c>
      <c r="B91" s="201" t="s">
        <v>220</v>
      </c>
      <c r="C91" s="231" t="s">
        <v>223</v>
      </c>
      <c r="D91" s="66"/>
      <c r="E91" s="202">
        <v>974.3</v>
      </c>
      <c r="F91" s="169">
        <v>43011</v>
      </c>
      <c r="G91" s="59"/>
      <c r="H91" s="162">
        <v>43014</v>
      </c>
      <c r="I91" s="51">
        <f t="shared" si="104"/>
        <v>43041</v>
      </c>
      <c r="J91" s="52">
        <f t="shared" si="105"/>
        <v>43071</v>
      </c>
      <c r="K91" s="173">
        <f t="shared" si="106"/>
        <v>-27</v>
      </c>
      <c r="L91" s="62">
        <f t="shared" si="107"/>
        <v>-26306.1</v>
      </c>
      <c r="M91" s="63" t="str">
        <f t="shared" si="108"/>
        <v>S</v>
      </c>
      <c r="N91" s="62">
        <f t="shared" si="109"/>
        <v>974.3</v>
      </c>
      <c r="O91" s="62" t="str">
        <f t="shared" si="110"/>
        <v xml:space="preserve"> </v>
      </c>
    </row>
    <row r="92" spans="1:15" x14ac:dyDescent="0.25">
      <c r="A92" s="38">
        <v>4</v>
      </c>
      <c r="B92" s="201" t="s">
        <v>221</v>
      </c>
      <c r="C92" s="206" t="s">
        <v>224</v>
      </c>
      <c r="D92" s="222"/>
      <c r="E92" s="207">
        <v>14.47</v>
      </c>
      <c r="F92" s="198">
        <v>43014</v>
      </c>
      <c r="G92" s="187"/>
      <c r="H92" s="187">
        <v>43039</v>
      </c>
      <c r="I92" s="226">
        <f t="shared" si="104"/>
        <v>43044</v>
      </c>
      <c r="J92" s="227">
        <f t="shared" si="105"/>
        <v>43074</v>
      </c>
      <c r="K92" s="173">
        <f t="shared" si="106"/>
        <v>-5</v>
      </c>
      <c r="L92" s="62">
        <f t="shared" si="107"/>
        <v>-72.349999999999994</v>
      </c>
      <c r="M92" s="63" t="str">
        <f t="shared" si="108"/>
        <v>S</v>
      </c>
      <c r="N92" s="62">
        <f t="shared" si="109"/>
        <v>14.47</v>
      </c>
      <c r="O92" s="62" t="str">
        <f t="shared" si="110"/>
        <v xml:space="preserve"> </v>
      </c>
    </row>
    <row r="93" spans="1:15" x14ac:dyDescent="0.25">
      <c r="B93" s="88"/>
      <c r="C93" s="175" t="s">
        <v>225</v>
      </c>
      <c r="D93" s="171"/>
      <c r="E93" s="176">
        <f>SUM(E89:E92)</f>
        <v>1036.51</v>
      </c>
      <c r="F93" s="177"/>
      <c r="G93" s="178"/>
      <c r="H93" s="172"/>
      <c r="I93" s="179"/>
      <c r="J93" s="180"/>
      <c r="K93" s="45">
        <f>SUM(K89:K92)</f>
        <v>-73</v>
      </c>
      <c r="L93" s="46">
        <f>SUM(L89:L92)</f>
        <v>-27409.139999999996</v>
      </c>
      <c r="M93" s="115"/>
      <c r="N93" s="46">
        <f>SUM(N89:N92)</f>
        <v>1036.51</v>
      </c>
      <c r="O93" s="46">
        <f>SUM(O89:O92)</f>
        <v>0</v>
      </c>
    </row>
    <row r="94" spans="1:15" x14ac:dyDescent="0.25">
      <c r="A94" s="29">
        <v>1</v>
      </c>
      <c r="B94" s="201" t="s">
        <v>230</v>
      </c>
      <c r="C94" s="231" t="s">
        <v>231</v>
      </c>
      <c r="D94" s="66"/>
      <c r="E94" s="39">
        <v>45.08</v>
      </c>
      <c r="F94" s="159">
        <v>43042</v>
      </c>
      <c r="G94" s="116"/>
      <c r="H94" s="234">
        <v>43046</v>
      </c>
      <c r="I94" s="79">
        <f t="shared" ref="I94" si="111">IF(G94&lt;&gt;0,G94+30,F94+30)</f>
        <v>43072</v>
      </c>
      <c r="J94" s="228">
        <f t="shared" ref="J94" si="112">+I94+30</f>
        <v>43102</v>
      </c>
      <c r="K94" s="173">
        <f>IF((H94-I94)&lt;-30,-30,(H94-I94))</f>
        <v>-26</v>
      </c>
      <c r="L94" s="62">
        <f t="shared" ref="L94" si="113">ROUND(E94*K94,2)</f>
        <v>-1172.08</v>
      </c>
      <c r="M94" s="63" t="str">
        <f t="shared" ref="M94" si="114">IF(K94&lt;=30,"S","N")</f>
        <v>S</v>
      </c>
      <c r="N94" s="62">
        <f t="shared" ref="N94" si="115">IF(K94&lt;=30,E94," ")</f>
        <v>45.08</v>
      </c>
      <c r="O94" s="62" t="str">
        <f t="shared" ref="O94" si="116">IF(K94&gt;30,E94," ")</f>
        <v xml:space="preserve"> </v>
      </c>
    </row>
    <row r="95" spans="1:15" x14ac:dyDescent="0.25">
      <c r="B95" s="225"/>
      <c r="C95" s="113" t="s">
        <v>236</v>
      </c>
      <c r="D95" s="43"/>
      <c r="E95" s="44">
        <f>SUM(E94)</f>
        <v>45.08</v>
      </c>
      <c r="F95" s="160"/>
      <c r="G95" s="119"/>
      <c r="H95" s="118"/>
      <c r="I95" s="120"/>
      <c r="J95" s="114"/>
      <c r="K95" s="45">
        <f>SUM(K94)</f>
        <v>-26</v>
      </c>
      <c r="L95" s="46">
        <f>SUM(L94)</f>
        <v>-1172.08</v>
      </c>
      <c r="M95" s="115"/>
      <c r="N95" s="46">
        <f>SUM(N94)</f>
        <v>45.08</v>
      </c>
      <c r="O95" s="46">
        <f>SUM(O94)</f>
        <v>0</v>
      </c>
    </row>
    <row r="96" spans="1:15" x14ac:dyDescent="0.25">
      <c r="A96" s="38">
        <v>1</v>
      </c>
      <c r="B96" s="239" t="s">
        <v>226</v>
      </c>
      <c r="C96" s="240" t="s">
        <v>228</v>
      </c>
      <c r="D96" s="66"/>
      <c r="E96" s="202">
        <v>67.010000000000005</v>
      </c>
      <c r="F96" s="169">
        <v>43017</v>
      </c>
      <c r="G96" s="183"/>
      <c r="H96" s="183">
        <v>43070</v>
      </c>
      <c r="I96" s="51">
        <f t="shared" ref="I96:I101" si="117">IF(G96&lt;&gt;0,G96+30,F96+30)</f>
        <v>43047</v>
      </c>
      <c r="J96" s="52">
        <f t="shared" ref="J96:J101" si="118">+I96+30</f>
        <v>43077</v>
      </c>
      <c r="K96" s="173">
        <f t="shared" ref="K96" si="119">IF((H96-I96)&lt;-30,-30,(H96-I96))</f>
        <v>23</v>
      </c>
      <c r="L96" s="62">
        <f t="shared" ref="L96:L98" si="120">ROUND(E96*K96,2)</f>
        <v>1541.23</v>
      </c>
      <c r="M96" s="63" t="str">
        <f t="shared" ref="M96:M101" si="121">IF(K96&lt;=30,"S","N")</f>
        <v>S</v>
      </c>
      <c r="N96" s="62">
        <f t="shared" ref="N96:N101" si="122">IF(K96&lt;=30,E96," ")</f>
        <v>67.010000000000005</v>
      </c>
      <c r="O96" s="62" t="str">
        <f t="shared" ref="O96:O101" si="123">IF(K96&gt;30,E96," ")</f>
        <v xml:space="preserve"> </v>
      </c>
    </row>
    <row r="97" spans="1:15" x14ac:dyDescent="0.25">
      <c r="A97" s="38">
        <v>2</v>
      </c>
      <c r="B97" s="239" t="s">
        <v>232</v>
      </c>
      <c r="C97" s="231" t="s">
        <v>233</v>
      </c>
      <c r="D97" s="66"/>
      <c r="E97" s="202">
        <v>67.010000000000005</v>
      </c>
      <c r="F97" s="169">
        <v>43052</v>
      </c>
      <c r="G97" s="59"/>
      <c r="H97" s="59">
        <v>43070</v>
      </c>
      <c r="I97" s="51">
        <f>IF(G97&lt;&gt;0,G97+30,F97+30)</f>
        <v>43082</v>
      </c>
      <c r="J97" s="52">
        <f t="shared" si="118"/>
        <v>43112</v>
      </c>
      <c r="K97" s="173">
        <f t="shared" ref="K97:K102" si="124">IF((H97-I97)&lt;-30,-30,(H97-I97))</f>
        <v>-12</v>
      </c>
      <c r="L97" s="62">
        <f t="shared" si="120"/>
        <v>-804.12</v>
      </c>
      <c r="M97" s="63" t="str">
        <f t="shared" si="121"/>
        <v>S</v>
      </c>
      <c r="N97" s="62">
        <f t="shared" si="122"/>
        <v>67.010000000000005</v>
      </c>
      <c r="O97" s="62" t="str">
        <f t="shared" si="123"/>
        <v xml:space="preserve"> </v>
      </c>
    </row>
    <row r="98" spans="1:15" x14ac:dyDescent="0.25">
      <c r="A98" s="38">
        <v>3</v>
      </c>
      <c r="B98" s="239" t="s">
        <v>227</v>
      </c>
      <c r="C98" s="240" t="s">
        <v>229</v>
      </c>
      <c r="D98" s="66"/>
      <c r="E98" s="202">
        <v>314.60000000000002</v>
      </c>
      <c r="F98" s="169">
        <v>43025</v>
      </c>
      <c r="G98" s="59"/>
      <c r="H98" s="59">
        <v>43070</v>
      </c>
      <c r="I98" s="51">
        <f t="shared" si="117"/>
        <v>43055</v>
      </c>
      <c r="J98" s="52">
        <f t="shared" si="118"/>
        <v>43085</v>
      </c>
      <c r="K98" s="173">
        <f t="shared" si="124"/>
        <v>15</v>
      </c>
      <c r="L98" s="62">
        <f t="shared" si="120"/>
        <v>4719</v>
      </c>
      <c r="M98" s="63" t="str">
        <f t="shared" si="121"/>
        <v>S</v>
      </c>
      <c r="N98" s="62">
        <f t="shared" si="122"/>
        <v>314.60000000000002</v>
      </c>
      <c r="O98" s="62" t="str">
        <f t="shared" si="123"/>
        <v xml:space="preserve"> </v>
      </c>
    </row>
    <row r="99" spans="1:15" x14ac:dyDescent="0.25">
      <c r="A99" s="38">
        <v>4</v>
      </c>
      <c r="B99" s="201" t="s">
        <v>234</v>
      </c>
      <c r="C99" s="231" t="s">
        <v>235</v>
      </c>
      <c r="D99" s="66"/>
      <c r="E99" s="39">
        <v>314.60000000000002</v>
      </c>
      <c r="F99" s="159">
        <v>43042</v>
      </c>
      <c r="G99" s="59"/>
      <c r="H99" s="59">
        <v>43070</v>
      </c>
      <c r="I99" s="51">
        <f t="shared" si="117"/>
        <v>43072</v>
      </c>
      <c r="J99" s="52">
        <f t="shared" si="118"/>
        <v>43102</v>
      </c>
      <c r="K99" s="173">
        <f t="shared" si="124"/>
        <v>-2</v>
      </c>
      <c r="L99" s="62">
        <f>ROUND(E99*K99,2)</f>
        <v>-629.20000000000005</v>
      </c>
      <c r="M99" s="63" t="str">
        <f t="shared" si="121"/>
        <v>S</v>
      </c>
      <c r="N99" s="62">
        <f t="shared" si="122"/>
        <v>314.60000000000002</v>
      </c>
      <c r="O99" s="62" t="str">
        <f t="shared" si="123"/>
        <v xml:space="preserve"> </v>
      </c>
    </row>
    <row r="100" spans="1:15" x14ac:dyDescent="0.25">
      <c r="A100" s="38">
        <v>5</v>
      </c>
      <c r="B100" s="201" t="s">
        <v>242</v>
      </c>
      <c r="C100" s="240" t="s">
        <v>243</v>
      </c>
      <c r="D100" s="66"/>
      <c r="E100" s="39">
        <v>18.510000000000002</v>
      </c>
      <c r="F100" s="159">
        <v>43074</v>
      </c>
      <c r="G100" s="59"/>
      <c r="H100" s="59">
        <v>43076</v>
      </c>
      <c r="I100" s="51">
        <f>IF(G100&lt;&gt;0,G100+30,F100+30)</f>
        <v>43104</v>
      </c>
      <c r="J100" s="52">
        <f t="shared" si="118"/>
        <v>43134</v>
      </c>
      <c r="K100" s="173">
        <f t="shared" si="124"/>
        <v>-28</v>
      </c>
      <c r="L100" s="62">
        <f>ROUND(E100*K100,2)</f>
        <v>-518.28</v>
      </c>
      <c r="M100" s="63" t="str">
        <f t="shared" si="121"/>
        <v>S</v>
      </c>
      <c r="N100" s="62">
        <f t="shared" si="122"/>
        <v>18.510000000000002</v>
      </c>
      <c r="O100" s="62" t="str">
        <f t="shared" si="123"/>
        <v xml:space="preserve"> </v>
      </c>
    </row>
    <row r="101" spans="1:15" x14ac:dyDescent="0.25">
      <c r="A101" s="38">
        <v>6</v>
      </c>
      <c r="B101" s="201" t="s">
        <v>245</v>
      </c>
      <c r="C101" s="240" t="s">
        <v>244</v>
      </c>
      <c r="D101" s="66"/>
      <c r="E101" s="39">
        <v>59.93</v>
      </c>
      <c r="F101" s="159">
        <v>43081</v>
      </c>
      <c r="G101" s="59"/>
      <c r="H101" s="59">
        <v>43084</v>
      </c>
      <c r="I101" s="51">
        <f t="shared" si="117"/>
        <v>43111</v>
      </c>
      <c r="J101" s="52">
        <f t="shared" si="118"/>
        <v>43141</v>
      </c>
      <c r="K101" s="173">
        <f t="shared" si="124"/>
        <v>-27</v>
      </c>
      <c r="L101" s="62">
        <f>ROUND(E101*K101,2)</f>
        <v>-1618.11</v>
      </c>
      <c r="M101" s="63" t="str">
        <f t="shared" si="121"/>
        <v>S</v>
      </c>
      <c r="N101" s="62">
        <f t="shared" si="122"/>
        <v>59.93</v>
      </c>
      <c r="O101" s="62" t="str">
        <f t="shared" si="123"/>
        <v xml:space="preserve"> </v>
      </c>
    </row>
    <row r="102" spans="1:15" x14ac:dyDescent="0.25">
      <c r="A102" s="38">
        <v>7</v>
      </c>
      <c r="B102" s="239" t="s">
        <v>246</v>
      </c>
      <c r="C102" s="240" t="s">
        <v>247</v>
      </c>
      <c r="D102" s="66"/>
      <c r="E102" s="202">
        <v>2932.57</v>
      </c>
      <c r="F102" s="169">
        <v>43081</v>
      </c>
      <c r="G102" s="59"/>
      <c r="H102" s="59">
        <v>43084</v>
      </c>
      <c r="I102" s="51">
        <f>IF(G102&lt;&gt;0,G102+30,F102+30)</f>
        <v>43111</v>
      </c>
      <c r="J102" s="52">
        <f t="shared" ref="J102:J105" si="125">+I102+30</f>
        <v>43141</v>
      </c>
      <c r="K102" s="173">
        <f t="shared" si="124"/>
        <v>-27</v>
      </c>
      <c r="L102" s="62">
        <f t="shared" ref="L102:L105" si="126">ROUND(E102*K102,2)</f>
        <v>-79179.39</v>
      </c>
      <c r="M102" s="63" t="str">
        <f t="shared" ref="M102:M105" si="127">IF(K102&lt;=30,"S","N")</f>
        <v>S</v>
      </c>
      <c r="N102" s="62">
        <f t="shared" ref="N102:N105" si="128">IF(K102&lt;=30,E102," ")</f>
        <v>2932.57</v>
      </c>
      <c r="O102" s="62" t="str">
        <f t="shared" ref="O102:O105" si="129">IF(K102&gt;30,E102," ")</f>
        <v xml:space="preserve"> </v>
      </c>
    </row>
    <row r="103" spans="1:15" x14ac:dyDescent="0.25">
      <c r="A103" s="38">
        <v>8</v>
      </c>
      <c r="B103" s="239" t="s">
        <v>248</v>
      </c>
      <c r="C103" s="240" t="s">
        <v>249</v>
      </c>
      <c r="D103" s="66"/>
      <c r="E103" s="202">
        <v>6738.34</v>
      </c>
      <c r="F103" s="169">
        <v>43082</v>
      </c>
      <c r="G103" s="59"/>
      <c r="H103" s="59">
        <v>43084</v>
      </c>
      <c r="I103" s="51">
        <f t="shared" ref="I103:I105" si="130">IF(G103&lt;&gt;0,G103+30,F103+30)</f>
        <v>43112</v>
      </c>
      <c r="J103" s="52">
        <f t="shared" si="125"/>
        <v>43142</v>
      </c>
      <c r="K103" s="173">
        <f t="shared" ref="K103:K105" si="131">IF((H103-I103)&lt;-30,-30,(H103-I103))</f>
        <v>-28</v>
      </c>
      <c r="L103" s="62">
        <f t="shared" si="126"/>
        <v>-188673.52</v>
      </c>
      <c r="M103" s="63" t="str">
        <f t="shared" si="127"/>
        <v>S</v>
      </c>
      <c r="N103" s="62">
        <f t="shared" si="128"/>
        <v>6738.34</v>
      </c>
      <c r="O103" s="62" t="str">
        <f t="shared" si="129"/>
        <v xml:space="preserve"> </v>
      </c>
    </row>
    <row r="104" spans="1:15" x14ac:dyDescent="0.25">
      <c r="A104" s="38">
        <v>9</v>
      </c>
      <c r="B104" s="239" t="s">
        <v>250</v>
      </c>
      <c r="C104" s="240" t="s">
        <v>251</v>
      </c>
      <c r="D104" s="66"/>
      <c r="E104" s="202">
        <v>67.010000000000005</v>
      </c>
      <c r="F104" s="169">
        <v>43082</v>
      </c>
      <c r="G104" s="59"/>
      <c r="H104" s="59">
        <v>43084</v>
      </c>
      <c r="I104" s="51">
        <f t="shared" si="130"/>
        <v>43112</v>
      </c>
      <c r="J104" s="52">
        <f t="shared" si="125"/>
        <v>43142</v>
      </c>
      <c r="K104" s="173">
        <f t="shared" si="131"/>
        <v>-28</v>
      </c>
      <c r="L104" s="62">
        <f t="shared" si="126"/>
        <v>-1876.28</v>
      </c>
      <c r="M104" s="63" t="str">
        <f t="shared" si="127"/>
        <v>S</v>
      </c>
      <c r="N104" s="62">
        <f t="shared" si="128"/>
        <v>67.010000000000005</v>
      </c>
      <c r="O104" s="62" t="str">
        <f t="shared" si="129"/>
        <v xml:space="preserve"> </v>
      </c>
    </row>
    <row r="105" spans="1:15" x14ac:dyDescent="0.25">
      <c r="A105" s="38">
        <v>10</v>
      </c>
      <c r="B105" s="239" t="s">
        <v>252</v>
      </c>
      <c r="C105" s="240" t="s">
        <v>253</v>
      </c>
      <c r="D105" s="66"/>
      <c r="E105" s="202">
        <v>66.430000000000007</v>
      </c>
      <c r="F105" s="169">
        <v>43074</v>
      </c>
      <c r="G105" s="59"/>
      <c r="H105" s="59">
        <v>43098</v>
      </c>
      <c r="I105" s="51">
        <f t="shared" si="130"/>
        <v>43104</v>
      </c>
      <c r="J105" s="52">
        <f t="shared" si="125"/>
        <v>43134</v>
      </c>
      <c r="K105" s="173">
        <f t="shared" si="131"/>
        <v>-6</v>
      </c>
      <c r="L105" s="62">
        <f t="shared" si="126"/>
        <v>-398.58</v>
      </c>
      <c r="M105" s="63" t="str">
        <f t="shared" si="127"/>
        <v>S</v>
      </c>
      <c r="N105" s="62">
        <f t="shared" si="128"/>
        <v>66.430000000000007</v>
      </c>
      <c r="O105" s="62" t="str">
        <f t="shared" si="129"/>
        <v xml:space="preserve"> </v>
      </c>
    </row>
    <row r="106" spans="1:15" x14ac:dyDescent="0.25">
      <c r="B106" s="88"/>
      <c r="C106" s="113" t="s">
        <v>241</v>
      </c>
      <c r="D106" s="43"/>
      <c r="E106" s="44">
        <f>SUM(E96:E105)</f>
        <v>10646.01</v>
      </c>
      <c r="F106" s="160"/>
      <c r="G106" s="119"/>
      <c r="H106" s="118"/>
      <c r="I106" s="120"/>
      <c r="J106" s="114"/>
      <c r="K106" s="45">
        <f>SUM(K96:K105)</f>
        <v>-120</v>
      </c>
      <c r="L106" s="46">
        <f>SUM(L96:L105)</f>
        <v>-267437.25000000006</v>
      </c>
      <c r="M106" s="115"/>
      <c r="N106" s="46">
        <f>SUM(N96:N105)</f>
        <v>10646.01</v>
      </c>
      <c r="O106" s="46">
        <f>SUM(O96:O99)</f>
        <v>0</v>
      </c>
    </row>
    <row r="107" spans="1:15" x14ac:dyDescent="0.25">
      <c r="A107" s="38">
        <v>1</v>
      </c>
      <c r="B107" s="201" t="s">
        <v>254</v>
      </c>
      <c r="C107" s="231" t="s">
        <v>255</v>
      </c>
      <c r="D107" s="66"/>
      <c r="E107" s="202">
        <v>35.340000000000003</v>
      </c>
      <c r="F107" s="169">
        <v>43105</v>
      </c>
      <c r="G107" s="59"/>
      <c r="H107" s="59">
        <v>43105</v>
      </c>
      <c r="I107" s="51">
        <f t="shared" ref="I107" si="132">IF(G107&lt;&gt;0,G107+30,F107+30)</f>
        <v>43135</v>
      </c>
      <c r="J107" s="52">
        <f t="shared" ref="J107:J109" si="133">+I107+30</f>
        <v>43165</v>
      </c>
      <c r="K107" s="173">
        <f t="shared" ref="K107:K109" si="134">IF((H107-I107)&lt;-30,-30,(H107-I107))</f>
        <v>-30</v>
      </c>
      <c r="L107" s="62">
        <f t="shared" ref="L107:L109" si="135">ROUND(E107*K107,2)</f>
        <v>-1060.2</v>
      </c>
      <c r="M107" s="63" t="str">
        <f t="shared" ref="M107:M109" si="136">IF(K107&lt;=30,"S","N")</f>
        <v>S</v>
      </c>
      <c r="N107" s="62">
        <f t="shared" ref="N107:N109" si="137">IF(K107&lt;=30,E107," ")</f>
        <v>35.340000000000003</v>
      </c>
      <c r="O107" s="62" t="str">
        <f t="shared" ref="O107:O109" si="138">IF(K107&gt;30,E107," ")</f>
        <v xml:space="preserve"> </v>
      </c>
    </row>
    <row r="108" spans="1:15" x14ac:dyDescent="0.25">
      <c r="A108" s="38">
        <v>2</v>
      </c>
      <c r="B108" s="201" t="s">
        <v>256</v>
      </c>
      <c r="C108" s="231" t="s">
        <v>257</v>
      </c>
      <c r="D108" s="66"/>
      <c r="E108" s="202">
        <v>38.22</v>
      </c>
      <c r="F108" s="169">
        <v>43097</v>
      </c>
      <c r="G108" s="59"/>
      <c r="H108" s="241">
        <v>43110</v>
      </c>
      <c r="I108" s="51">
        <f>IF(G108&lt;&gt;0,G108+30,F108+30)</f>
        <v>43127</v>
      </c>
      <c r="J108" s="52">
        <f t="shared" si="133"/>
        <v>43157</v>
      </c>
      <c r="K108" s="173">
        <f t="shared" si="134"/>
        <v>-17</v>
      </c>
      <c r="L108" s="62">
        <f t="shared" si="135"/>
        <v>-649.74</v>
      </c>
      <c r="M108" s="63" t="str">
        <f t="shared" si="136"/>
        <v>S</v>
      </c>
      <c r="N108" s="62">
        <f t="shared" si="137"/>
        <v>38.22</v>
      </c>
      <c r="O108" s="62" t="str">
        <f t="shared" si="138"/>
        <v xml:space="preserve"> </v>
      </c>
    </row>
    <row r="109" spans="1:15" x14ac:dyDescent="0.25">
      <c r="A109" s="38">
        <v>3</v>
      </c>
      <c r="B109" s="201" t="s">
        <v>258</v>
      </c>
      <c r="C109" s="231" t="s">
        <v>259</v>
      </c>
      <c r="D109" s="66"/>
      <c r="E109" s="202">
        <v>5732.1</v>
      </c>
      <c r="F109" s="169">
        <v>43118</v>
      </c>
      <c r="G109" s="59"/>
      <c r="H109" s="241">
        <v>43118</v>
      </c>
      <c r="I109" s="51">
        <f t="shared" ref="I109" si="139">IF(G109&lt;&gt;0,G109+30,F109+30)</f>
        <v>43148</v>
      </c>
      <c r="J109" s="52">
        <f t="shared" si="133"/>
        <v>43178</v>
      </c>
      <c r="K109" s="173">
        <f t="shared" si="134"/>
        <v>-30</v>
      </c>
      <c r="L109" s="62">
        <f t="shared" si="135"/>
        <v>-171963</v>
      </c>
      <c r="M109" s="63" t="str">
        <f t="shared" si="136"/>
        <v>S</v>
      </c>
      <c r="N109" s="62">
        <f t="shared" si="137"/>
        <v>5732.1</v>
      </c>
      <c r="O109" s="62" t="str">
        <f t="shared" si="138"/>
        <v xml:space="preserve"> </v>
      </c>
    </row>
    <row r="110" spans="1:15" x14ac:dyDescent="0.25">
      <c r="B110" s="88"/>
      <c r="C110" s="113" t="s">
        <v>260</v>
      </c>
      <c r="D110" s="43"/>
      <c r="E110" s="44">
        <f>SUM(E107:E109)</f>
        <v>5805.6600000000008</v>
      </c>
      <c r="F110" s="160"/>
      <c r="G110" s="119"/>
      <c r="H110" s="118"/>
      <c r="I110" s="120"/>
      <c r="J110" s="114"/>
      <c r="K110" s="45">
        <f>SUM(K107:K109)</f>
        <v>-77</v>
      </c>
      <c r="L110" s="46">
        <f>SUM(L107:L109)</f>
        <v>-173672.94</v>
      </c>
      <c r="M110" s="115"/>
      <c r="N110" s="46">
        <f>SUM(N107:N109)</f>
        <v>5805.6600000000008</v>
      </c>
      <c r="O110" s="46">
        <f>SUM(O107:O109)</f>
        <v>0</v>
      </c>
    </row>
    <row r="111" spans="1:15" x14ac:dyDescent="0.25">
      <c r="C111" s="85"/>
      <c r="D111" s="38"/>
      <c r="E111" s="39"/>
      <c r="F111" s="164"/>
      <c r="G111" s="116"/>
      <c r="H111" s="116"/>
      <c r="I111" s="116"/>
      <c r="J111" s="116"/>
      <c r="K111" s="190"/>
      <c r="L111" s="90" t="s">
        <v>19</v>
      </c>
      <c r="M111" s="91" t="s">
        <v>8</v>
      </c>
      <c r="N111" s="91" t="s">
        <v>6</v>
      </c>
      <c r="O111" s="92" t="s">
        <v>7</v>
      </c>
    </row>
    <row r="112" spans="1:15" x14ac:dyDescent="0.25">
      <c r="C112" s="37"/>
      <c r="D112" s="38"/>
      <c r="E112" s="39"/>
      <c r="F112" s="164"/>
      <c r="G112" s="116"/>
      <c r="H112" s="116"/>
      <c r="I112" s="116"/>
      <c r="J112" s="116"/>
      <c r="K112" s="93"/>
      <c r="L112" s="94"/>
      <c r="M112" s="95">
        <f>COUNT(L107:L109)</f>
        <v>3</v>
      </c>
      <c r="N112" s="95">
        <f>COUNTIFS(M107:M109,"S")</f>
        <v>3</v>
      </c>
      <c r="O112" s="95">
        <f>M112-N112</f>
        <v>0</v>
      </c>
    </row>
    <row r="113" spans="1:15" x14ac:dyDescent="0.25">
      <c r="C113" s="37"/>
      <c r="D113" s="38"/>
      <c r="E113" s="39"/>
      <c r="F113" s="164"/>
      <c r="G113" s="116"/>
      <c r="H113" s="116"/>
      <c r="I113" s="116"/>
      <c r="J113" s="116"/>
      <c r="K113" s="93"/>
      <c r="L113" s="94"/>
      <c r="M113" s="96"/>
      <c r="N113" s="96"/>
      <c r="O113" s="97"/>
    </row>
    <row r="114" spans="1:15" x14ac:dyDescent="0.25">
      <c r="D114" s="29"/>
      <c r="E114" s="122"/>
      <c r="F114" s="165"/>
      <c r="G114" s="73"/>
      <c r="H114" s="73"/>
      <c r="I114" s="73"/>
      <c r="J114" s="73"/>
    </row>
    <row r="115" spans="1:15" x14ac:dyDescent="0.25">
      <c r="B115" s="138" t="s">
        <v>22</v>
      </c>
      <c r="C115" s="139">
        <v>43131</v>
      </c>
      <c r="D115" s="98"/>
      <c r="E115" s="140">
        <f>E12+E31+E43+E56+E63+E71+E80+E88+E93+E95+E106+E110</f>
        <v>204624.13</v>
      </c>
      <c r="F115" s="166"/>
      <c r="G115" s="141"/>
      <c r="H115" s="141"/>
      <c r="I115" s="141"/>
      <c r="J115" s="141"/>
      <c r="K115" s="99">
        <f>ROUND(L115/E115,2)</f>
        <v>-13.54</v>
      </c>
      <c r="L115" s="142">
        <f>L12+L31+L43+L56+L63+L71+L80+L88+L93+L95+L106+L110</f>
        <v>-2770957.3600000003</v>
      </c>
      <c r="N115" s="143">
        <f>N12+N31+N43+N56+N63+N71+N80+N88+N93+N95+N106+N110</f>
        <v>204190.89</v>
      </c>
      <c r="O115" s="144">
        <f>O12+O31+O43+O56+O63+O71+O80+O88+O93+O95+O106+O110</f>
        <v>433.24</v>
      </c>
    </row>
    <row r="116" spans="1:15" x14ac:dyDescent="0.25">
      <c r="B116" s="85"/>
      <c r="C116" s="85"/>
      <c r="D116" s="38"/>
      <c r="E116" s="39"/>
      <c r="F116" s="167"/>
      <c r="G116" s="85"/>
      <c r="H116" s="85"/>
      <c r="I116" s="85"/>
      <c r="J116" s="85"/>
      <c r="K116" s="93"/>
      <c r="L116" s="39"/>
      <c r="O116" s="122"/>
    </row>
    <row r="117" spans="1:15" x14ac:dyDescent="0.25">
      <c r="E117" s="122"/>
      <c r="F117" s="165"/>
      <c r="G117" s="73"/>
      <c r="H117" s="73"/>
      <c r="I117" s="73"/>
      <c r="J117" s="73"/>
      <c r="K117" s="127"/>
      <c r="L117" s="100" t="s">
        <v>14</v>
      </c>
      <c r="M117" s="95" t="s">
        <v>8</v>
      </c>
      <c r="N117" s="95" t="s">
        <v>6</v>
      </c>
      <c r="O117" s="101" t="s">
        <v>7</v>
      </c>
    </row>
    <row r="118" spans="1:15" x14ac:dyDescent="0.25">
      <c r="E118" s="122"/>
      <c r="F118" s="165"/>
      <c r="G118" s="73"/>
      <c r="H118" s="73"/>
      <c r="I118" s="73"/>
      <c r="J118" s="73"/>
      <c r="L118" s="102"/>
      <c r="M118" s="95">
        <f>N118+O118</f>
        <v>92</v>
      </c>
      <c r="N118" s="95">
        <f>COUNTIFS(M7:M110,"S")</f>
        <v>91</v>
      </c>
      <c r="O118" s="101">
        <f>COUNTIFS(M7:M110,"N")</f>
        <v>1</v>
      </c>
    </row>
    <row r="119" spans="1:15" x14ac:dyDescent="0.25">
      <c r="E119" s="122"/>
      <c r="F119" s="165"/>
      <c r="G119" s="73"/>
      <c r="H119" s="73"/>
      <c r="I119" s="73"/>
      <c r="J119" s="73"/>
    </row>
    <row r="120" spans="1:15" x14ac:dyDescent="0.25">
      <c r="B120" s="103" t="s">
        <v>11</v>
      </c>
      <c r="C120" s="104">
        <f>C115</f>
        <v>43131</v>
      </c>
      <c r="K120" s="34"/>
    </row>
    <row r="121" spans="1:15" x14ac:dyDescent="0.25">
      <c r="O121" s="36" t="s">
        <v>15</v>
      </c>
    </row>
    <row r="122" spans="1:15" ht="75" x14ac:dyDescent="0.25">
      <c r="A122" s="134" t="s">
        <v>0</v>
      </c>
      <c r="B122" s="135" t="s">
        <v>23</v>
      </c>
      <c r="C122" s="136" t="s">
        <v>1</v>
      </c>
      <c r="D122" s="135" t="s">
        <v>2</v>
      </c>
      <c r="E122" s="136" t="s">
        <v>13</v>
      </c>
      <c r="F122" s="158" t="s">
        <v>24</v>
      </c>
      <c r="G122" s="135" t="s">
        <v>3</v>
      </c>
      <c r="H122" s="135" t="s">
        <v>12</v>
      </c>
      <c r="I122" s="137" t="s">
        <v>34</v>
      </c>
      <c r="J122" s="137" t="s">
        <v>35</v>
      </c>
      <c r="K122" s="136" t="s">
        <v>37</v>
      </c>
      <c r="L122" s="136" t="s">
        <v>36</v>
      </c>
      <c r="M122" s="136" t="s">
        <v>5</v>
      </c>
      <c r="N122" s="136" t="s">
        <v>16</v>
      </c>
      <c r="O122" s="135" t="s">
        <v>17</v>
      </c>
    </row>
    <row r="123" spans="1:15" x14ac:dyDescent="0.25">
      <c r="A123" s="145">
        <v>1</v>
      </c>
      <c r="B123" s="146" t="s">
        <v>138</v>
      </c>
      <c r="C123" s="191" t="s">
        <v>134</v>
      </c>
      <c r="D123" s="147"/>
      <c r="E123" s="148">
        <v>1094.02</v>
      </c>
      <c r="F123" s="168">
        <v>42865</v>
      </c>
      <c r="G123" s="147"/>
      <c r="H123" s="123">
        <v>43131</v>
      </c>
      <c r="I123" s="123">
        <f>IF(G123&lt;&gt;0,G123+30,F123+30)</f>
        <v>42895</v>
      </c>
      <c r="J123" s="128">
        <f>+I123+30</f>
        <v>42925</v>
      </c>
      <c r="K123" s="129">
        <f>IF((H123-I123)&lt;-30,-30,(H123-I123))</f>
        <v>236</v>
      </c>
      <c r="L123" s="130">
        <f>ROUND(E123*K123,2)</f>
        <v>258188.72</v>
      </c>
      <c r="M123" s="129" t="str">
        <f t="shared" ref="M123" si="140">IF(K123&lt;=30,"S","N")</f>
        <v>N</v>
      </c>
      <c r="N123" s="130" t="str">
        <f t="shared" ref="N123" si="141">IF(K123&lt;=30,E123," ")</f>
        <v xml:space="preserve"> </v>
      </c>
      <c r="O123" s="130">
        <f t="shared" ref="O123" si="142">IF(K123&gt;30,E123," ")</f>
        <v>1094.02</v>
      </c>
    </row>
    <row r="124" spans="1:15" x14ac:dyDescent="0.25">
      <c r="A124" s="149">
        <v>2</v>
      </c>
      <c r="B124" s="150" t="s">
        <v>139</v>
      </c>
      <c r="C124" s="192" t="s">
        <v>135</v>
      </c>
      <c r="D124" s="151"/>
      <c r="E124" s="152">
        <v>1116.3399999999999</v>
      </c>
      <c r="F124" s="169">
        <v>42865</v>
      </c>
      <c r="G124" s="151"/>
      <c r="H124" s="89">
        <v>43131</v>
      </c>
      <c r="I124" s="89">
        <f>IF(G124&lt;&gt;0,G124+30,F124+30)</f>
        <v>42895</v>
      </c>
      <c r="J124" s="131">
        <f t="shared" ref="J124:J126" si="143">+I124+30</f>
        <v>42925</v>
      </c>
      <c r="K124" s="129">
        <f t="shared" ref="K124:K140" si="144">IF((H124-I124)&lt;-30,-30,(H124-I124))</f>
        <v>236</v>
      </c>
      <c r="L124" s="130">
        <f t="shared" ref="L124:L140" si="145">ROUND(E124*K124,2)</f>
        <v>263456.24</v>
      </c>
      <c r="M124" s="129" t="str">
        <f t="shared" ref="M124:M140" si="146">IF(K124&lt;=30,"S","N")</f>
        <v>N</v>
      </c>
      <c r="N124" s="130" t="str">
        <f t="shared" ref="N124:N140" si="147">IF(K124&lt;=30,E124," ")</f>
        <v xml:space="preserve"> </v>
      </c>
      <c r="O124" s="130">
        <f t="shared" ref="O124:O140" si="148">IF(K124&gt;30,E124," ")</f>
        <v>1116.3399999999999</v>
      </c>
    </row>
    <row r="125" spans="1:15" x14ac:dyDescent="0.25">
      <c r="A125" s="149">
        <v>3</v>
      </c>
      <c r="B125" s="150" t="s">
        <v>140</v>
      </c>
      <c r="C125" s="193" t="s">
        <v>136</v>
      </c>
      <c r="D125" s="151"/>
      <c r="E125" s="152">
        <v>1094.02</v>
      </c>
      <c r="F125" s="169">
        <v>42867</v>
      </c>
      <c r="G125" s="151"/>
      <c r="H125" s="89">
        <v>43131</v>
      </c>
      <c r="I125" s="89">
        <f t="shared" ref="I125:I126" si="149">IF(G125&lt;&gt;0,G125+30,F125+30)</f>
        <v>42897</v>
      </c>
      <c r="J125" s="131">
        <f t="shared" si="143"/>
        <v>42927</v>
      </c>
      <c r="K125" s="129">
        <f t="shared" si="144"/>
        <v>234</v>
      </c>
      <c r="L125" s="130">
        <f t="shared" si="145"/>
        <v>256000.68</v>
      </c>
      <c r="M125" s="129" t="str">
        <f t="shared" si="146"/>
        <v>N</v>
      </c>
      <c r="N125" s="130" t="str">
        <f t="shared" si="147"/>
        <v xml:space="preserve"> </v>
      </c>
      <c r="O125" s="130">
        <f t="shared" si="148"/>
        <v>1094.02</v>
      </c>
    </row>
    <row r="126" spans="1:15" x14ac:dyDescent="0.25">
      <c r="A126" s="38">
        <v>4</v>
      </c>
      <c r="B126" s="150" t="s">
        <v>141</v>
      </c>
      <c r="C126" s="193" t="s">
        <v>137</v>
      </c>
      <c r="D126" s="38"/>
      <c r="E126" s="152">
        <v>1116.3399999999999</v>
      </c>
      <c r="F126" s="169">
        <v>42867</v>
      </c>
      <c r="G126" s="89"/>
      <c r="H126" s="89">
        <v>43131</v>
      </c>
      <c r="I126" s="89">
        <f t="shared" si="149"/>
        <v>42897</v>
      </c>
      <c r="J126" s="131">
        <f t="shared" si="143"/>
        <v>42927</v>
      </c>
      <c r="K126" s="129">
        <f t="shared" si="144"/>
        <v>234</v>
      </c>
      <c r="L126" s="130">
        <f t="shared" si="145"/>
        <v>261223.56</v>
      </c>
      <c r="M126" s="129" t="str">
        <f t="shared" si="146"/>
        <v>N</v>
      </c>
      <c r="N126" s="130" t="str">
        <f t="shared" si="147"/>
        <v xml:space="preserve"> </v>
      </c>
      <c r="O126" s="130">
        <f t="shared" si="148"/>
        <v>1116.3399999999999</v>
      </c>
    </row>
    <row r="127" spans="1:15" x14ac:dyDescent="0.25">
      <c r="A127" s="149">
        <v>5</v>
      </c>
      <c r="B127" s="150" t="s">
        <v>162</v>
      </c>
      <c r="C127" s="192" t="s">
        <v>166</v>
      </c>
      <c r="D127" s="151"/>
      <c r="E127" s="152">
        <v>1094.02</v>
      </c>
      <c r="F127" s="169">
        <v>42942</v>
      </c>
      <c r="G127" s="151"/>
      <c r="H127" s="89">
        <v>43131</v>
      </c>
      <c r="I127" s="89">
        <f>IF(G127&lt;&gt;0,G127+30,F127+30)</f>
        <v>42972</v>
      </c>
      <c r="J127" s="131">
        <f>+I127+30</f>
        <v>43002</v>
      </c>
      <c r="K127" s="129">
        <f t="shared" si="144"/>
        <v>159</v>
      </c>
      <c r="L127" s="130">
        <f t="shared" si="145"/>
        <v>173949.18</v>
      </c>
      <c r="M127" s="129" t="str">
        <f t="shared" si="146"/>
        <v>N</v>
      </c>
      <c r="N127" s="130" t="str">
        <f t="shared" si="147"/>
        <v xml:space="preserve"> </v>
      </c>
      <c r="O127" s="130">
        <f t="shared" si="148"/>
        <v>1094.02</v>
      </c>
    </row>
    <row r="128" spans="1:15" x14ac:dyDescent="0.25">
      <c r="A128" s="149">
        <v>6</v>
      </c>
      <c r="B128" s="150" t="s">
        <v>163</v>
      </c>
      <c r="C128" s="192" t="s">
        <v>167</v>
      </c>
      <c r="D128" s="151"/>
      <c r="E128" s="152">
        <v>1116.3399999999999</v>
      </c>
      <c r="F128" s="169">
        <v>42942</v>
      </c>
      <c r="G128" s="151"/>
      <c r="H128" s="89">
        <v>43131</v>
      </c>
      <c r="I128" s="89">
        <f t="shared" ref="I128:I129" si="150">IF(G128&lt;&gt;0,G128+30,F128+30)</f>
        <v>42972</v>
      </c>
      <c r="J128" s="131">
        <f t="shared" ref="J128:J130" si="151">+I128+30</f>
        <v>43002</v>
      </c>
      <c r="K128" s="129">
        <f t="shared" si="144"/>
        <v>159</v>
      </c>
      <c r="L128" s="130">
        <f t="shared" si="145"/>
        <v>177498.06</v>
      </c>
      <c r="M128" s="129" t="str">
        <f t="shared" si="146"/>
        <v>N</v>
      </c>
      <c r="N128" s="130" t="str">
        <f t="shared" si="147"/>
        <v xml:space="preserve"> </v>
      </c>
      <c r="O128" s="130">
        <f t="shared" si="148"/>
        <v>1116.3399999999999</v>
      </c>
    </row>
    <row r="129" spans="1:15" x14ac:dyDescent="0.25">
      <c r="A129" s="149">
        <v>7</v>
      </c>
      <c r="B129" s="150" t="s">
        <v>164</v>
      </c>
      <c r="C129" s="193" t="s">
        <v>168</v>
      </c>
      <c r="D129" s="151"/>
      <c r="E129" s="152">
        <v>1094.02</v>
      </c>
      <c r="F129" s="169">
        <v>42942</v>
      </c>
      <c r="G129" s="151"/>
      <c r="H129" s="89">
        <v>43131</v>
      </c>
      <c r="I129" s="89">
        <f t="shared" si="150"/>
        <v>42972</v>
      </c>
      <c r="J129" s="131">
        <f t="shared" si="151"/>
        <v>43002</v>
      </c>
      <c r="K129" s="129">
        <f t="shared" si="144"/>
        <v>159</v>
      </c>
      <c r="L129" s="130">
        <f t="shared" si="145"/>
        <v>173949.18</v>
      </c>
      <c r="M129" s="129" t="str">
        <f t="shared" si="146"/>
        <v>N</v>
      </c>
      <c r="N129" s="130" t="str">
        <f t="shared" si="147"/>
        <v xml:space="preserve"> </v>
      </c>
      <c r="O129" s="130">
        <f t="shared" si="148"/>
        <v>1094.02</v>
      </c>
    </row>
    <row r="130" spans="1:15" x14ac:dyDescent="0.25">
      <c r="A130" s="38">
        <v>8</v>
      </c>
      <c r="B130" s="150" t="s">
        <v>165</v>
      </c>
      <c r="C130" s="193" t="s">
        <v>169</v>
      </c>
      <c r="D130" s="38"/>
      <c r="E130" s="152">
        <v>1116.3399999999999</v>
      </c>
      <c r="F130" s="169">
        <v>42942</v>
      </c>
      <c r="G130" s="89"/>
      <c r="H130" s="89">
        <v>43131</v>
      </c>
      <c r="I130" s="89">
        <f>IF(G130&lt;&gt;0,G130+30,F130+30)</f>
        <v>42972</v>
      </c>
      <c r="J130" s="131">
        <f t="shared" si="151"/>
        <v>43002</v>
      </c>
      <c r="K130" s="129">
        <f>IF((H130-I130)&lt;-30,-30,(H130-I130))</f>
        <v>159</v>
      </c>
      <c r="L130" s="130">
        <f t="shared" si="145"/>
        <v>177498.06</v>
      </c>
      <c r="M130" s="129" t="str">
        <f t="shared" si="146"/>
        <v>N</v>
      </c>
      <c r="N130" s="130" t="str">
        <f t="shared" si="147"/>
        <v xml:space="preserve"> </v>
      </c>
      <c r="O130" s="130">
        <f t="shared" si="148"/>
        <v>1116.3399999999999</v>
      </c>
    </row>
    <row r="131" spans="1:15" x14ac:dyDescent="0.25">
      <c r="A131" s="38">
        <v>9</v>
      </c>
      <c r="B131" s="232" t="s">
        <v>201</v>
      </c>
      <c r="C131" s="192" t="s">
        <v>210</v>
      </c>
      <c r="D131" s="38"/>
      <c r="E131" s="152">
        <v>24168</v>
      </c>
      <c r="F131" s="169">
        <v>42986</v>
      </c>
      <c r="G131" s="89"/>
      <c r="H131" s="89">
        <v>43131</v>
      </c>
      <c r="I131" s="89">
        <f t="shared" ref="I131:I140" si="152">IF(G131&lt;&gt;0,G131+30,F131+30)</f>
        <v>43016</v>
      </c>
      <c r="J131" s="131">
        <f t="shared" ref="J131:J141" si="153">+I131+30</f>
        <v>43046</v>
      </c>
      <c r="K131" s="129">
        <f t="shared" si="144"/>
        <v>115</v>
      </c>
      <c r="L131" s="130">
        <f t="shared" si="145"/>
        <v>2779320</v>
      </c>
      <c r="M131" s="129" t="str">
        <f t="shared" si="146"/>
        <v>N</v>
      </c>
      <c r="N131" s="130" t="str">
        <f t="shared" si="147"/>
        <v xml:space="preserve"> </v>
      </c>
      <c r="O131" s="130">
        <f t="shared" si="148"/>
        <v>24168</v>
      </c>
    </row>
    <row r="132" spans="1:15" x14ac:dyDescent="0.25">
      <c r="A132" s="38">
        <v>10</v>
      </c>
      <c r="B132" s="232" t="s">
        <v>202</v>
      </c>
      <c r="C132" s="192" t="s">
        <v>211</v>
      </c>
      <c r="D132" s="38"/>
      <c r="E132" s="152">
        <v>5724</v>
      </c>
      <c r="F132" s="169">
        <v>42986</v>
      </c>
      <c r="G132" s="89"/>
      <c r="H132" s="89">
        <v>43131</v>
      </c>
      <c r="I132" s="89">
        <f t="shared" si="152"/>
        <v>43016</v>
      </c>
      <c r="J132" s="131">
        <f t="shared" si="153"/>
        <v>43046</v>
      </c>
      <c r="K132" s="129">
        <f t="shared" si="144"/>
        <v>115</v>
      </c>
      <c r="L132" s="130">
        <f t="shared" si="145"/>
        <v>658260</v>
      </c>
      <c r="M132" s="129" t="str">
        <f t="shared" si="146"/>
        <v>N</v>
      </c>
      <c r="N132" s="130" t="str">
        <f t="shared" si="147"/>
        <v xml:space="preserve"> </v>
      </c>
      <c r="O132" s="130">
        <f t="shared" si="148"/>
        <v>5724</v>
      </c>
    </row>
    <row r="133" spans="1:15" x14ac:dyDescent="0.25">
      <c r="A133" s="38">
        <v>11</v>
      </c>
      <c r="B133" s="232" t="s">
        <v>203</v>
      </c>
      <c r="C133" s="192" t="s">
        <v>212</v>
      </c>
      <c r="D133" s="38"/>
      <c r="E133" s="152">
        <v>5724</v>
      </c>
      <c r="F133" s="169">
        <v>42986</v>
      </c>
      <c r="G133" s="89"/>
      <c r="H133" s="89">
        <v>43131</v>
      </c>
      <c r="I133" s="89">
        <f t="shared" si="152"/>
        <v>43016</v>
      </c>
      <c r="J133" s="131">
        <f t="shared" si="153"/>
        <v>43046</v>
      </c>
      <c r="K133" s="129">
        <f t="shared" si="144"/>
        <v>115</v>
      </c>
      <c r="L133" s="130">
        <f t="shared" si="145"/>
        <v>658260</v>
      </c>
      <c r="M133" s="129" t="str">
        <f t="shared" si="146"/>
        <v>N</v>
      </c>
      <c r="N133" s="130" t="str">
        <f t="shared" si="147"/>
        <v xml:space="preserve"> </v>
      </c>
      <c r="O133" s="130">
        <f t="shared" si="148"/>
        <v>5724</v>
      </c>
    </row>
    <row r="134" spans="1:15" x14ac:dyDescent="0.25">
      <c r="A134" s="38">
        <v>12</v>
      </c>
      <c r="B134" s="232" t="s">
        <v>204</v>
      </c>
      <c r="C134" s="192" t="s">
        <v>213</v>
      </c>
      <c r="D134" s="38"/>
      <c r="E134" s="152">
        <v>5724</v>
      </c>
      <c r="F134" s="169">
        <v>42986</v>
      </c>
      <c r="G134" s="89"/>
      <c r="H134" s="89">
        <v>43131</v>
      </c>
      <c r="I134" s="89">
        <f t="shared" si="152"/>
        <v>43016</v>
      </c>
      <c r="J134" s="131">
        <f t="shared" si="153"/>
        <v>43046</v>
      </c>
      <c r="K134" s="129">
        <f t="shared" si="144"/>
        <v>115</v>
      </c>
      <c r="L134" s="130">
        <f t="shared" si="145"/>
        <v>658260</v>
      </c>
      <c r="M134" s="129" t="str">
        <f t="shared" si="146"/>
        <v>N</v>
      </c>
      <c r="N134" s="130" t="str">
        <f t="shared" si="147"/>
        <v xml:space="preserve"> </v>
      </c>
      <c r="O134" s="130">
        <f t="shared" si="148"/>
        <v>5724</v>
      </c>
    </row>
    <row r="135" spans="1:15" x14ac:dyDescent="0.25">
      <c r="A135" s="38">
        <v>13</v>
      </c>
      <c r="B135" s="232" t="s">
        <v>205</v>
      </c>
      <c r="C135" s="233" t="s">
        <v>214</v>
      </c>
      <c r="D135" s="38"/>
      <c r="E135" s="152">
        <v>12084</v>
      </c>
      <c r="F135" s="169">
        <v>42986</v>
      </c>
      <c r="G135" s="89"/>
      <c r="H135" s="89">
        <v>43131</v>
      </c>
      <c r="I135" s="89">
        <f t="shared" si="152"/>
        <v>43016</v>
      </c>
      <c r="J135" s="131">
        <f t="shared" si="153"/>
        <v>43046</v>
      </c>
      <c r="K135" s="129">
        <f t="shared" si="144"/>
        <v>115</v>
      </c>
      <c r="L135" s="130">
        <f t="shared" si="145"/>
        <v>1389660</v>
      </c>
      <c r="M135" s="129" t="str">
        <f t="shared" si="146"/>
        <v>N</v>
      </c>
      <c r="N135" s="130" t="str">
        <f t="shared" si="147"/>
        <v xml:space="preserve"> </v>
      </c>
      <c r="O135" s="130">
        <f t="shared" si="148"/>
        <v>12084</v>
      </c>
    </row>
    <row r="136" spans="1:15" x14ac:dyDescent="0.25">
      <c r="A136" s="38">
        <v>14</v>
      </c>
      <c r="B136" s="232" t="s">
        <v>206</v>
      </c>
      <c r="C136" s="192" t="s">
        <v>215</v>
      </c>
      <c r="D136" s="38"/>
      <c r="E136" s="152">
        <v>5724</v>
      </c>
      <c r="F136" s="169">
        <v>42986</v>
      </c>
      <c r="G136" s="89"/>
      <c r="H136" s="89">
        <v>43131</v>
      </c>
      <c r="I136" s="89">
        <f t="shared" si="152"/>
        <v>43016</v>
      </c>
      <c r="J136" s="131">
        <f t="shared" si="153"/>
        <v>43046</v>
      </c>
      <c r="K136" s="129">
        <f t="shared" si="144"/>
        <v>115</v>
      </c>
      <c r="L136" s="130">
        <f t="shared" si="145"/>
        <v>658260</v>
      </c>
      <c r="M136" s="129" t="str">
        <f t="shared" si="146"/>
        <v>N</v>
      </c>
      <c r="N136" s="130" t="str">
        <f t="shared" si="147"/>
        <v xml:space="preserve"> </v>
      </c>
      <c r="O136" s="130">
        <f t="shared" si="148"/>
        <v>5724</v>
      </c>
    </row>
    <row r="137" spans="1:15" x14ac:dyDescent="0.25">
      <c r="A137" s="38">
        <v>15</v>
      </c>
      <c r="B137" s="232" t="s">
        <v>207</v>
      </c>
      <c r="C137" s="192" t="s">
        <v>216</v>
      </c>
      <c r="D137" s="38"/>
      <c r="E137" s="152">
        <v>5724</v>
      </c>
      <c r="F137" s="169">
        <v>42986</v>
      </c>
      <c r="G137" s="89"/>
      <c r="H137" s="89">
        <v>43131</v>
      </c>
      <c r="I137" s="89">
        <f t="shared" si="152"/>
        <v>43016</v>
      </c>
      <c r="J137" s="131">
        <f t="shared" si="153"/>
        <v>43046</v>
      </c>
      <c r="K137" s="129">
        <f t="shared" si="144"/>
        <v>115</v>
      </c>
      <c r="L137" s="130">
        <f t="shared" si="145"/>
        <v>658260</v>
      </c>
      <c r="M137" s="129" t="str">
        <f t="shared" si="146"/>
        <v>N</v>
      </c>
      <c r="N137" s="130" t="str">
        <f t="shared" si="147"/>
        <v xml:space="preserve"> </v>
      </c>
      <c r="O137" s="130">
        <f t="shared" si="148"/>
        <v>5724</v>
      </c>
    </row>
    <row r="138" spans="1:15" x14ac:dyDescent="0.25">
      <c r="A138" s="38">
        <v>16</v>
      </c>
      <c r="B138" s="232" t="s">
        <v>208</v>
      </c>
      <c r="C138" s="192" t="s">
        <v>217</v>
      </c>
      <c r="D138" s="38"/>
      <c r="E138" s="152">
        <v>5724</v>
      </c>
      <c r="F138" s="169">
        <v>42986</v>
      </c>
      <c r="G138" s="224"/>
      <c r="H138" s="89">
        <v>43131</v>
      </c>
      <c r="I138" s="89">
        <f t="shared" si="152"/>
        <v>43016</v>
      </c>
      <c r="J138" s="131">
        <f t="shared" si="153"/>
        <v>43046</v>
      </c>
      <c r="K138" s="129">
        <f t="shared" si="144"/>
        <v>115</v>
      </c>
      <c r="L138" s="130">
        <f t="shared" si="145"/>
        <v>658260</v>
      </c>
      <c r="M138" s="129" t="str">
        <f t="shared" si="146"/>
        <v>N</v>
      </c>
      <c r="N138" s="130" t="str">
        <f t="shared" si="147"/>
        <v xml:space="preserve"> </v>
      </c>
      <c r="O138" s="130">
        <f t="shared" si="148"/>
        <v>5724</v>
      </c>
    </row>
    <row r="139" spans="1:15" x14ac:dyDescent="0.25">
      <c r="A139" s="38">
        <v>17</v>
      </c>
      <c r="B139" s="150" t="s">
        <v>239</v>
      </c>
      <c r="C139" s="193" t="s">
        <v>237</v>
      </c>
      <c r="D139" s="38"/>
      <c r="E139" s="152">
        <v>1094.02</v>
      </c>
      <c r="F139" s="169">
        <v>43024</v>
      </c>
      <c r="G139" s="89"/>
      <c r="H139" s="89">
        <v>43131</v>
      </c>
      <c r="I139" s="89">
        <f t="shared" si="152"/>
        <v>43054</v>
      </c>
      <c r="J139" s="131">
        <f t="shared" si="153"/>
        <v>43084</v>
      </c>
      <c r="K139" s="129">
        <f t="shared" si="144"/>
        <v>77</v>
      </c>
      <c r="L139" s="130">
        <f t="shared" si="145"/>
        <v>84239.54</v>
      </c>
      <c r="M139" s="129" t="str">
        <f t="shared" si="146"/>
        <v>N</v>
      </c>
      <c r="N139" s="130" t="str">
        <f t="shared" si="147"/>
        <v xml:space="preserve"> </v>
      </c>
      <c r="O139" s="130">
        <f t="shared" si="148"/>
        <v>1094.02</v>
      </c>
    </row>
    <row r="140" spans="1:15" x14ac:dyDescent="0.25">
      <c r="A140" s="38">
        <v>18</v>
      </c>
      <c r="B140" s="150" t="s">
        <v>240</v>
      </c>
      <c r="C140" s="193" t="s">
        <v>238</v>
      </c>
      <c r="D140" s="38"/>
      <c r="E140" s="152">
        <v>1116.3399999999999</v>
      </c>
      <c r="F140" s="169">
        <v>43024</v>
      </c>
      <c r="G140" s="89"/>
      <c r="H140" s="89">
        <v>43131</v>
      </c>
      <c r="I140" s="89">
        <f t="shared" si="152"/>
        <v>43054</v>
      </c>
      <c r="J140" s="131">
        <f t="shared" si="153"/>
        <v>43084</v>
      </c>
      <c r="K140" s="129">
        <f t="shared" si="144"/>
        <v>77</v>
      </c>
      <c r="L140" s="130">
        <f t="shared" si="145"/>
        <v>85958.18</v>
      </c>
      <c r="M140" s="129" t="str">
        <f t="shared" si="146"/>
        <v>N</v>
      </c>
      <c r="N140" s="130" t="str">
        <f t="shared" si="147"/>
        <v xml:space="preserve"> </v>
      </c>
      <c r="O140" s="130">
        <f t="shared" si="148"/>
        <v>1116.3399999999999</v>
      </c>
    </row>
    <row r="141" spans="1:15" x14ac:dyDescent="0.25">
      <c r="A141" s="38">
        <v>19</v>
      </c>
      <c r="B141" s="242" t="s">
        <v>261</v>
      </c>
      <c r="C141" s="193" t="s">
        <v>263</v>
      </c>
      <c r="D141" s="38"/>
      <c r="E141" s="152">
        <v>11730.27</v>
      </c>
      <c r="F141" s="169">
        <v>43110</v>
      </c>
      <c r="G141" s="89"/>
      <c r="H141" s="89">
        <v>43131</v>
      </c>
      <c r="I141" s="89">
        <f>IF(G141&lt;&gt;0,G141+30,F141+30)</f>
        <v>43140</v>
      </c>
      <c r="J141" s="131">
        <f t="shared" si="153"/>
        <v>43170</v>
      </c>
      <c r="K141" s="129">
        <f t="shared" ref="K141" si="154">IF((H141-I141)&lt;-30,-30,(H141-I141))</f>
        <v>-9</v>
      </c>
      <c r="L141" s="130">
        <f t="shared" ref="L141" si="155">ROUND(E141*K141,2)</f>
        <v>-105572.43</v>
      </c>
      <c r="M141" s="129" t="str">
        <f t="shared" ref="M141" si="156">IF(K141&lt;=30,"S","N")</f>
        <v>S</v>
      </c>
      <c r="N141" s="130">
        <f t="shared" ref="N141" si="157">IF(K141&lt;=30,E141," ")</f>
        <v>11730.27</v>
      </c>
      <c r="O141" s="130" t="str">
        <f t="shared" ref="O141" si="158">IF(K141&gt;30,E141," ")</f>
        <v xml:space="preserve"> </v>
      </c>
    </row>
    <row r="142" spans="1:15" x14ac:dyDescent="0.25">
      <c r="A142" s="38">
        <v>20</v>
      </c>
      <c r="B142" s="243" t="s">
        <v>262</v>
      </c>
      <c r="C142" s="244" t="s">
        <v>264</v>
      </c>
      <c r="D142" s="171"/>
      <c r="E142" s="245">
        <v>60500</v>
      </c>
      <c r="F142" s="198">
        <v>43110</v>
      </c>
      <c r="G142" s="89"/>
      <c r="H142" s="89">
        <v>43131</v>
      </c>
      <c r="I142" s="89">
        <f>IF(G142&lt;&gt;0,G142+30,F142+30)</f>
        <v>43140</v>
      </c>
      <c r="J142" s="131">
        <f t="shared" ref="J142" si="159">+I142+30</f>
        <v>43170</v>
      </c>
      <c r="K142" s="129">
        <f t="shared" ref="K142" si="160">IF((H142-I142)&lt;-30,-30,(H142-I142))</f>
        <v>-9</v>
      </c>
      <c r="L142" s="130">
        <f t="shared" ref="L142" si="161">ROUND(E142*K142,2)</f>
        <v>-544500</v>
      </c>
      <c r="M142" s="129" t="str">
        <f t="shared" ref="M142" si="162">IF(K142&lt;=30,"S","N")</f>
        <v>S</v>
      </c>
      <c r="N142" s="130">
        <f t="shared" ref="N142" si="163">IF(K142&lt;=30,E142," ")</f>
        <v>60500</v>
      </c>
      <c r="O142" s="130" t="str">
        <f t="shared" ref="O142" si="164">IF(K142&gt;30,E142," ")</f>
        <v xml:space="preserve"> </v>
      </c>
    </row>
    <row r="143" spans="1:15" x14ac:dyDescent="0.25">
      <c r="B143" s="138" t="s">
        <v>21</v>
      </c>
      <c r="C143" s="153">
        <f>C120</f>
        <v>43131</v>
      </c>
      <c r="D143" s="154"/>
      <c r="E143" s="140">
        <f>SUM(E123:E142)</f>
        <v>153878.07</v>
      </c>
      <c r="F143" s="166"/>
      <c r="G143" s="141"/>
      <c r="H143" s="141"/>
      <c r="I143" s="141"/>
      <c r="J143" s="155"/>
      <c r="K143" s="156">
        <f>ROUND(L143/E143,2)</f>
        <v>60.96</v>
      </c>
      <c r="L143" s="105">
        <f>SUM(L123:L142)</f>
        <v>9380428.9699999988</v>
      </c>
      <c r="M143" s="132"/>
      <c r="N143" s="105">
        <f>SUM(N123:N142)</f>
        <v>72230.27</v>
      </c>
      <c r="O143" s="105">
        <f>SUM(O123:O142)</f>
        <v>81647.8</v>
      </c>
    </row>
    <row r="144" spans="1:15" x14ac:dyDescent="0.25">
      <c r="B144" s="150"/>
      <c r="C144" s="193"/>
      <c r="D144" s="38"/>
      <c r="E144" s="152"/>
      <c r="F144" s="169"/>
      <c r="K144" s="133"/>
      <c r="L144" s="90" t="s">
        <v>20</v>
      </c>
      <c r="M144" s="91" t="s">
        <v>8</v>
      </c>
      <c r="N144" s="91" t="s">
        <v>6</v>
      </c>
      <c r="O144" s="92" t="s">
        <v>7</v>
      </c>
    </row>
    <row r="145" spans="2:15" x14ac:dyDescent="0.25">
      <c r="B145" s="150"/>
      <c r="C145" s="193"/>
      <c r="D145" s="38"/>
      <c r="E145" s="152"/>
      <c r="F145" s="169"/>
      <c r="L145" s="102"/>
      <c r="M145" s="95">
        <f>N145+O145</f>
        <v>20</v>
      </c>
      <c r="N145" s="95">
        <f>COUNTIFS(M123:M143,"S")</f>
        <v>2</v>
      </c>
      <c r="O145" s="101">
        <f>COUNTIFS(M123:M143,"N")</f>
        <v>18</v>
      </c>
    </row>
    <row r="146" spans="2:15" x14ac:dyDescent="0.25">
      <c r="E146" s="64" t="s">
        <v>18</v>
      </c>
      <c r="K146" s="34" t="s">
        <v>31</v>
      </c>
      <c r="O146" s="122"/>
    </row>
    <row r="147" spans="2:15" x14ac:dyDescent="0.25">
      <c r="B147" s="106" t="s">
        <v>25</v>
      </c>
      <c r="C147" s="107"/>
      <c r="D147" s="108"/>
      <c r="E147" s="109">
        <f>SUM(E110)</f>
        <v>5805.6600000000008</v>
      </c>
      <c r="F147" s="170"/>
      <c r="G147" s="107"/>
      <c r="H147" s="107"/>
      <c r="I147" s="107"/>
      <c r="J147" s="107"/>
      <c r="K147" s="110">
        <f>SUM(K110)</f>
        <v>-77</v>
      </c>
      <c r="L147" s="122" t="s">
        <v>38</v>
      </c>
      <c r="O147" s="122"/>
    </row>
    <row r="148" spans="2:15" x14ac:dyDescent="0.25">
      <c r="B148" s="30"/>
      <c r="C148" s="30"/>
      <c r="E148" s="30"/>
      <c r="F148" s="36"/>
      <c r="G148" s="30"/>
      <c r="H148" s="30"/>
      <c r="I148" s="30"/>
      <c r="J148" s="30"/>
      <c r="K148" s="34"/>
    </row>
    <row r="149" spans="2:15" x14ac:dyDescent="0.25">
      <c r="B149" s="106" t="s">
        <v>26</v>
      </c>
      <c r="C149" s="107"/>
      <c r="D149" s="108"/>
      <c r="E149" s="109">
        <f>E115</f>
        <v>204624.13</v>
      </c>
      <c r="F149" s="170"/>
      <c r="G149" s="107"/>
      <c r="H149" s="107"/>
      <c r="I149" s="107"/>
      <c r="J149" s="107"/>
      <c r="K149" s="111">
        <f>K115</f>
        <v>-13.54</v>
      </c>
      <c r="O149" s="122"/>
    </row>
    <row r="150" spans="2:15" x14ac:dyDescent="0.25">
      <c r="B150" s="30"/>
      <c r="C150" s="30"/>
      <c r="E150" s="30"/>
      <c r="F150" s="36"/>
      <c r="G150" s="30"/>
      <c r="H150" s="30"/>
      <c r="I150" s="30"/>
      <c r="J150" s="30"/>
      <c r="K150" s="34"/>
    </row>
    <row r="151" spans="2:15" x14ac:dyDescent="0.25">
      <c r="B151" s="106" t="s">
        <v>29</v>
      </c>
      <c r="C151" s="112">
        <v>43100</v>
      </c>
      <c r="D151" s="108"/>
      <c r="E151" s="109">
        <f>E143</f>
        <v>153878.07</v>
      </c>
      <c r="F151" s="170"/>
      <c r="G151" s="107"/>
      <c r="H151" s="107"/>
      <c r="I151" s="107"/>
      <c r="J151" s="107"/>
      <c r="K151" s="110">
        <f>K143</f>
        <v>60.96</v>
      </c>
      <c r="L151" s="122" t="s">
        <v>38</v>
      </c>
      <c r="O151" s="122"/>
    </row>
    <row r="152" spans="2:15" x14ac:dyDescent="0.25">
      <c r="B152" s="30"/>
      <c r="C152" s="30"/>
      <c r="E152" s="30"/>
      <c r="F152" s="36"/>
      <c r="G152" s="30"/>
      <c r="H152" s="30"/>
      <c r="I152" s="30"/>
      <c r="J152" s="30"/>
      <c r="K152" s="34"/>
    </row>
    <row r="153" spans="2:15" x14ac:dyDescent="0.25">
      <c r="B153" s="106" t="s">
        <v>30</v>
      </c>
      <c r="C153" s="107"/>
      <c r="D153" s="108"/>
      <c r="E153" s="107"/>
      <c r="F153" s="170"/>
      <c r="G153" s="107"/>
      <c r="H153" s="107"/>
      <c r="I153" s="107"/>
      <c r="J153" s="107"/>
      <c r="K153" s="110">
        <f>((E147*K147)+(E151*K151))/(E147+E151)</f>
        <v>55.944154906702146</v>
      </c>
      <c r="L153" s="122" t="s">
        <v>38</v>
      </c>
    </row>
  </sheetData>
  <sheetProtection selectLockedCells="1"/>
  <sortState ref="B7:S49">
    <sortCondition ref="H7:H49"/>
  </sortState>
  <mergeCells count="1">
    <mergeCell ref="L2:M2"/>
  </mergeCells>
  <printOptions horizontalCentered="1" gridLines="1"/>
  <pageMargins left="0.11811023622047245" right="0.11811023622047245" top="0.23622047244094491" bottom="0.31496062992125984" header="0.15748031496062992" footer="0.11811023622047245"/>
  <pageSetup paperSize="9" scale="44" fitToHeight="3" orientation="landscape" horizontalDpi="4294967293" verticalDpi="4294967293" r:id="rId1"/>
  <headerFooter>
    <oddFooter xml:space="preserve">&amp;R&amp;P de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activeCell="B17" sqref="B17"/>
    </sheetView>
  </sheetViews>
  <sheetFormatPr baseColWidth="10" defaultRowHeight="15" x14ac:dyDescent="0.25"/>
  <cols>
    <col min="2" max="2" width="53.5703125" customWidth="1"/>
    <col min="3" max="4" width="14.5703125" customWidth="1"/>
    <col min="5" max="5" width="18.28515625" customWidth="1"/>
  </cols>
  <sheetData>
    <row r="1" spans="1:5" ht="16.5" x14ac:dyDescent="0.3">
      <c r="A1" s="1"/>
      <c r="B1" s="2" t="s">
        <v>39</v>
      </c>
      <c r="C1" s="2"/>
      <c r="D1" s="3"/>
      <c r="E1" s="3"/>
    </row>
    <row r="2" spans="1:5" ht="16.5" x14ac:dyDescent="0.3">
      <c r="A2" s="4"/>
      <c r="B2" s="4"/>
      <c r="C2" s="4"/>
      <c r="D2" s="4"/>
      <c r="E2" s="4"/>
    </row>
    <row r="3" spans="1:5" ht="16.5" x14ac:dyDescent="0.3">
      <c r="A3" s="4"/>
      <c r="B3" s="4"/>
      <c r="C3" s="4"/>
      <c r="D3" s="4"/>
      <c r="E3" s="4"/>
    </row>
    <row r="4" spans="1:5" ht="16.5" x14ac:dyDescent="0.3">
      <c r="A4" s="5" t="s">
        <v>40</v>
      </c>
      <c r="B4" s="5"/>
      <c r="C4" s="5"/>
      <c r="D4" s="6"/>
      <c r="E4" s="6"/>
    </row>
    <row r="5" spans="1:5" ht="16.5" x14ac:dyDescent="0.3">
      <c r="A5" s="5" t="s">
        <v>41</v>
      </c>
      <c r="B5" s="5"/>
      <c r="C5" s="5"/>
      <c r="D5" s="6"/>
      <c r="E5" s="6"/>
    </row>
    <row r="6" spans="1:5" ht="18" customHeight="1" x14ac:dyDescent="0.25">
      <c r="A6" s="238" t="s">
        <v>265</v>
      </c>
      <c r="B6" s="238"/>
      <c r="C6" s="238"/>
      <c r="D6" s="238"/>
      <c r="E6" s="238"/>
    </row>
    <row r="7" spans="1:5" ht="16.5" x14ac:dyDescent="0.3">
      <c r="A7" s="5" t="s">
        <v>266</v>
      </c>
      <c r="B7" s="5"/>
      <c r="C7" s="5"/>
      <c r="D7" s="6"/>
      <c r="E7" s="6"/>
    </row>
    <row r="8" spans="1:5" ht="16.5" x14ac:dyDescent="0.3">
      <c r="A8" s="7"/>
      <c r="B8" s="8"/>
      <c r="C8" s="4"/>
      <c r="D8" s="4"/>
      <c r="E8" s="4"/>
    </row>
    <row r="9" spans="1:5" ht="17.25" thickBot="1" x14ac:dyDescent="0.35">
      <c r="A9" s="7"/>
      <c r="B9" s="9"/>
      <c r="C9" s="4"/>
      <c r="D9" s="4"/>
      <c r="E9" s="10" t="s">
        <v>42</v>
      </c>
    </row>
    <row r="10" spans="1:5" ht="51.75" thickBot="1" x14ac:dyDescent="0.3">
      <c r="A10" s="7"/>
      <c r="B10" s="11" t="s">
        <v>43</v>
      </c>
      <c r="C10" s="12" t="s">
        <v>44</v>
      </c>
      <c r="D10" s="12" t="s">
        <v>45</v>
      </c>
      <c r="E10" s="12" t="s">
        <v>46</v>
      </c>
    </row>
    <row r="11" spans="1:5" ht="16.5" x14ac:dyDescent="0.3">
      <c r="A11" s="7"/>
      <c r="B11" s="13" t="s">
        <v>41</v>
      </c>
      <c r="C11" s="14">
        <f>'MODELO PMP'!K147</f>
        <v>-77</v>
      </c>
      <c r="D11" s="14">
        <f>'MODELO PMP'!K151</f>
        <v>60.96</v>
      </c>
      <c r="E11" s="14">
        <f>'MODELO PMP'!K153</f>
        <v>55.944154906702146</v>
      </c>
    </row>
    <row r="12" spans="1:5" x14ac:dyDescent="0.25">
      <c r="A12" s="7"/>
      <c r="B12" s="236"/>
      <c r="C12" s="236"/>
      <c r="D12" s="236"/>
      <c r="E12" s="236"/>
    </row>
    <row r="13" spans="1:5" ht="16.5" x14ac:dyDescent="0.3">
      <c r="A13" s="4"/>
      <c r="B13" s="4"/>
      <c r="C13" s="4"/>
      <c r="D13" s="4"/>
      <c r="E13" s="4"/>
    </row>
    <row r="14" spans="1:5" ht="36.75" customHeight="1" x14ac:dyDescent="0.3">
      <c r="A14" s="4"/>
      <c r="B14" s="236" t="s">
        <v>47</v>
      </c>
      <c r="C14" s="237"/>
      <c r="D14" s="237"/>
      <c r="E14" s="237"/>
    </row>
  </sheetData>
  <mergeCells count="3">
    <mergeCell ref="B12:E12"/>
    <mergeCell ref="B14:E14"/>
    <mergeCell ref="A6:E6"/>
  </mergeCells>
  <pageMargins left="0.7" right="0.7" top="0.75" bottom="0.75" header="0.3" footer="0.3"/>
  <pageSetup paperSize="9"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MODELO PMP</vt:lpstr>
      <vt:lpstr>WEB</vt:lpstr>
      <vt:lpstr>'MODELO PMP'!Títulos_a_imprimir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joseangelcasado@nuevoarpegio.com</dc:creator>
  <cp:lastModifiedBy>cfernandez</cp:lastModifiedBy>
  <cp:lastPrinted>2018-01-03T11:22:31Z</cp:lastPrinted>
  <dcterms:created xsi:type="dcterms:W3CDTF">2014-03-10T10:23:23Z</dcterms:created>
  <dcterms:modified xsi:type="dcterms:W3CDTF">2018-02-02T12:32:49Z</dcterms:modified>
</cp:coreProperties>
</file>